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<sst xmlns="http://schemas.openxmlformats.org/spreadsheetml/2006/main" count="175" uniqueCount="108">
  <si>
    <t>Tabela Tabelionato de Notas</t>
  </si>
  <si>
    <t xml:space="preserve">1. Escritura com valor declarado: </t>
  </si>
  <si>
    <t>Tabelião</t>
  </si>
  <si>
    <t>Estado</t>
  </si>
  <si>
    <t>IPESP</t>
  </si>
  <si>
    <t>Reg. Civil</t>
  </si>
  <si>
    <t xml:space="preserve">Trib. Justiça </t>
  </si>
  <si>
    <t>Sub Total</t>
  </si>
  <si>
    <t>1ª Conferência</t>
  </si>
  <si>
    <t>Prova Final</t>
  </si>
  <si>
    <t>Sta. Casa</t>
  </si>
  <si>
    <t>TOTAL</t>
  </si>
  <si>
    <t>a</t>
  </si>
  <si>
    <t>de</t>
  </si>
  <si>
    <t>até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</si>
  <si>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</si>
  <si>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</si>
  <si>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</si>
  <si>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</si>
  <si>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</si>
  <si>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</si>
  <si>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</si>
  <si>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</si>
  <si>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</si>
  <si>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</si>
  <si>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</si>
  <si>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</si>
  <si>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</si>
  <si>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</si>
  <si>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</si>
  <si>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</si>
  <si>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</si>
  <si>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</si>
  <si>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</si>
  <si>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</si>
  <si>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</si>
  <si>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</si>
  <si>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</si>
  <si>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</si>
  <si>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</si>
  <si>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z1</t>
  </si>
  <si>
    <t>z2</t>
  </si>
  <si>
    <t>z3</t>
  </si>
  <si>
    <t>z4</t>
  </si>
  <si>
    <t>z5</t>
  </si>
  <si>
    <t>z6</t>
  </si>
  <si>
    <t xml:space="preserve">1.1.- Considerar-se-á como escritura com valor declarado todos os instrumentos que versarem sobre imóveis, ou que tenham valor econômico. </t>
  </si>
  <si>
    <t>2.</t>
  </si>
  <si>
    <t>Procuração, substabelecimento ou revogação</t>
  </si>
  <si>
    <t>2.2</t>
  </si>
  <si>
    <r>
      <t xml:space="preserve"> com poderes para o </t>
    </r>
    <r>
      <rPr>
        <b/>
        <u val="single"/>
        <sz val="10"/>
        <rFont val="Arial"/>
        <family val="2"/>
      </rPr>
      <t>foro em geral</t>
    </r>
  </si>
  <si>
    <t>2.2.1</t>
  </si>
  <si>
    <t>até 4 outorgantes</t>
  </si>
  <si>
    <t>2.2.2</t>
  </si>
  <si>
    <t>acima de 4 (cada outorgante adicional)</t>
  </si>
  <si>
    <t>2.2.3</t>
  </si>
  <si>
    <t>tratando-se de outorgante analfabeto</t>
  </si>
  <si>
    <t>2.3</t>
  </si>
  <si>
    <r>
      <t xml:space="preserve"> outras procurações, </t>
    </r>
    <r>
      <rPr>
        <b/>
        <u val="single"/>
        <sz val="10"/>
        <rFont val="Arial"/>
        <family val="2"/>
      </rPr>
      <t>sem valor economico</t>
    </r>
  </si>
  <si>
    <t>2.3.1</t>
  </si>
  <si>
    <t>2.3.2</t>
  </si>
  <si>
    <t>2.4</t>
  </si>
  <si>
    <r>
      <t xml:space="preserve"> outras procurações, </t>
    </r>
    <r>
      <rPr>
        <b/>
        <u val="single"/>
        <sz val="10"/>
        <rFont val="Arial"/>
        <family val="2"/>
      </rPr>
      <t>com valor economico</t>
    </r>
  </si>
  <si>
    <t>2.4.1</t>
  </si>
  <si>
    <t>2.4.2</t>
  </si>
  <si>
    <t>Nota : Considera-se o casal apenas um outorgante</t>
  </si>
  <si>
    <t>3.</t>
  </si>
  <si>
    <t>Autenticação de cópias de documentos extraídas por meio reprográfico (por página)</t>
  </si>
  <si>
    <t>4.</t>
  </si>
  <si>
    <t>Reconhecimento de Firma, inclusive letras e sinal</t>
  </si>
  <si>
    <t>4.1</t>
  </si>
  <si>
    <t>por semelhança</t>
  </si>
  <si>
    <t>4.1.1</t>
  </si>
  <si>
    <t>em documentos sem valor econômico</t>
  </si>
  <si>
    <t>4.1.2</t>
  </si>
  <si>
    <t>em documentos com valor econômico</t>
  </si>
  <si>
    <t>4.2</t>
  </si>
  <si>
    <t>como  autêntica</t>
  </si>
  <si>
    <t>4.2.1</t>
  </si>
  <si>
    <t>em documentos com ou sem valor econômico</t>
  </si>
  <si>
    <t>5.</t>
  </si>
  <si>
    <t>Certidão ou traslado ou pública forma</t>
  </si>
  <si>
    <t>6.</t>
  </si>
  <si>
    <t>Escritura sem valor declarado</t>
  </si>
  <si>
    <t>6.1</t>
  </si>
  <si>
    <t>Para reconhecimento de filho, ou adoção, ou fins previdenciários, ou de dependência econômica</t>
  </si>
  <si>
    <t>6.2</t>
  </si>
  <si>
    <t>demais escrituras, desde que não tratadas nesta tabela</t>
  </si>
  <si>
    <t>7.</t>
  </si>
  <si>
    <t>Registro chancela mecânica</t>
  </si>
  <si>
    <t>8.</t>
  </si>
  <si>
    <t>Testamento</t>
  </si>
  <si>
    <t>8.1</t>
  </si>
  <si>
    <t>público sem conteúdo patrimonial, com ou sem revogação</t>
  </si>
  <si>
    <t>8.2</t>
  </si>
  <si>
    <t>público com ou sem revogação</t>
  </si>
  <si>
    <t>8.3</t>
  </si>
  <si>
    <t>cerrado, pela aprovação e encerramento</t>
  </si>
  <si>
    <t>8.4</t>
  </si>
  <si>
    <t>revogação de testamento</t>
  </si>
  <si>
    <t>9.</t>
  </si>
  <si>
    <t>Atas Notariais, sem reflexo econômico</t>
  </si>
  <si>
    <t>9.1</t>
  </si>
  <si>
    <t>pela primeira folha</t>
  </si>
  <si>
    <t>9.2</t>
  </si>
  <si>
    <t>por página adicional</t>
  </si>
  <si>
    <t>10.</t>
  </si>
  <si>
    <t>Escritura de Convenção de Condomínio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</si>
</sst>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44" fontId="0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1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 wrapText="1"/>
    </xf>
    <xf numFmtId="44" fontId="1" fillId="0" borderId="11" xfId="0" applyNumberFormat="1" applyFont="1" applyBorder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4" fontId="0" fillId="0" borderId="13" xfId="0" applyNumberFormat="1" applyFont="1" applyBorder="1" applyAlignment="1">
      <alignment horizontal="center" vertical="center" wrapText="1"/>
    </xf>
    <xf numFmtId="44" fontId="0" fillId="0" borderId="6" xfId="0" applyNumberFormat="1" applyFont="1" applyBorder="1" applyAlignment="1">
      <alignment horizontal="center" vertical="center" wrapText="1"/>
    </xf>
    <xf numFmtId="44" fontId="0" fillId="0" borderId="14" xfId="0" applyNumberFormat="1" applyFont="1" applyBorder="1" applyAlignment="1">
      <alignment horizontal="center" vertical="center" wrapText="1"/>
    </xf>
    <xf numFmtId="44" fontId="0" fillId="0" borderId="14" xfId="0" applyNumberFormat="1" applyFont="1" applyFill="1" applyBorder="1" applyAlignment="1">
      <alignment horizontal="center" vertical="center" wrapText="1"/>
    </xf>
    <xf numFmtId="44" fontId="1" fillId="0" borderId="14" xfId="0" applyNumberFormat="1" applyFont="1" applyFill="1" applyBorder="1" applyAlignment="1">
      <alignment horizontal="center" vertical="center" wrapText="1"/>
    </xf>
    <xf numFmtId="44" fontId="0" fillId="0" borderId="15" xfId="0" applyNumberFormat="1" applyFont="1" applyFill="1" applyBorder="1" applyAlignment="1">
      <alignment horizontal="center" vertical="center" wrapText="1"/>
    </xf>
    <xf numFmtId="44" fontId="0" fillId="0" borderId="16" xfId="0" applyNumberFormat="1" applyFont="1" applyFill="1" applyBorder="1" applyAlignment="1">
      <alignment horizontal="center" vertical="center" wrapText="1"/>
    </xf>
    <xf numFmtId="44" fontId="1" fillId="0" borderId="17" xfId="0" applyNumberFormat="1" applyFont="1" applyFill="1" applyBorder="1" applyAlignment="1">
      <alignment horizontal="center" vertical="center" wrapText="1"/>
    </xf>
    <xf numFmtId="44" fontId="0" fillId="0" borderId="18" xfId="0" applyNumberFormat="1" applyFont="1" applyBorder="1" applyAlignment="1">
      <alignment horizontal="center" vertical="center" wrapText="1"/>
    </xf>
    <xf numFmtId="44" fontId="0" fillId="0" borderId="13" xfId="0" applyNumberFormat="1" applyFont="1" applyFill="1" applyBorder="1" applyAlignment="1">
      <alignment horizontal="center" vertical="center" wrapText="1"/>
    </xf>
    <xf numFmtId="44" fontId="1" fillId="0" borderId="13" xfId="0" applyNumberFormat="1" applyFont="1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 horizontal="center" vertical="center" wrapText="1"/>
    </xf>
    <xf numFmtId="44" fontId="0" fillId="0" borderId="18" xfId="0" applyNumberFormat="1" applyFont="1" applyFill="1" applyBorder="1" applyAlignment="1">
      <alignment horizontal="center" vertical="center" wrapText="1"/>
    </xf>
    <xf numFmtId="44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4" fontId="0" fillId="0" borderId="21" xfId="0" applyNumberFormat="1" applyFont="1" applyBorder="1" applyAlignment="1">
      <alignment horizontal="center" vertical="center" wrapText="1"/>
    </xf>
    <xf numFmtId="44" fontId="0" fillId="0" borderId="21" xfId="0" applyNumberFormat="1" applyFont="1" applyFill="1" applyBorder="1" applyAlignment="1">
      <alignment horizontal="center" vertical="center" wrapText="1"/>
    </xf>
    <xf numFmtId="44" fontId="1" fillId="0" borderId="21" xfId="0" applyNumberFormat="1" applyFont="1" applyFill="1" applyBorder="1" applyAlignment="1">
      <alignment horizontal="center" vertical="center" wrapText="1"/>
    </xf>
    <xf numFmtId="44" fontId="0" fillId="0" borderId="22" xfId="0" applyNumberFormat="1" applyFont="1" applyFill="1" applyBorder="1" applyAlignment="1">
      <alignment horizontal="center" vertical="center" wrapText="1"/>
    </xf>
    <xf numFmtId="44" fontId="0" fillId="0" borderId="23" xfId="0" applyNumberFormat="1" applyFont="1" applyFill="1" applyBorder="1" applyAlignment="1">
      <alignment horizontal="center" vertical="center" wrapText="1"/>
    </xf>
    <xf numFmtId="44" fontId="1" fillId="0" borderId="24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left" vertical="center" wrapText="1"/>
      <protection locked="0"/>
    </xf>
    <xf numFmtId="0" fontId="1" fillId="0" borderId="29" xfId="0" applyFont="1" applyFill="1" applyBorder="1" applyAlignment="1" applyProtection="1">
      <alignment horizontal="left" vertical="center" wrapText="1"/>
      <protection locked="0"/>
    </xf>
    <xf numFmtId="0" fontId="1" fillId="0" borderId="30" xfId="0" applyFont="1" applyFill="1" applyBorder="1" applyAlignment="1" applyProtection="1">
      <alignment horizontal="left" vertical="center" wrapText="1"/>
      <protection locked="0"/>
    </xf>
    <xf numFmtId="4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left" vertical="center" wrapText="1"/>
      <protection locked="0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29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44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44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18" xfId="0" applyNumberFormat="1" applyFont="1" applyFill="1" applyBorder="1" applyAlignment="1" applyProtection="1">
      <alignment horizontal="center" vertical="center" wrapText="1"/>
      <protection/>
    </xf>
    <xf numFmtId="4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0" xfId="0" applyNumberFormat="1" applyFont="1" applyFill="1" applyBorder="1" applyAlignment="1" applyProtection="1">
      <alignment horizontal="center" vertical="center" wrapText="1"/>
      <protection/>
    </xf>
    <xf numFmtId="44" fontId="0" fillId="0" borderId="6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Fill="1" applyBorder="1" applyAlignment="1" applyProtection="1">
      <alignment horizontal="left" vertical="center" wrapText="1"/>
      <protection locked="0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44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2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44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Fill="1" applyBorder="1" applyAlignment="1" applyProtection="1">
      <alignment horizontal="left" vertical="center" wrapText="1"/>
      <protection locked="0"/>
    </xf>
    <xf numFmtId="44" fontId="1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44" fontId="0" fillId="0" borderId="0" xfId="0" applyNumberFormat="1" applyFont="1" applyFill="1" applyAlignment="1" applyProtection="1">
      <alignment horizontal="center" vertical="center" wrapText="1"/>
      <protection locked="0"/>
    </xf>
    <xf numFmtId="44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4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2" xfId="0" applyNumberFormat="1" applyFont="1" applyFill="1" applyBorder="1" applyAlignment="1">
      <alignment horizontal="center" vertical="center" wrapText="1"/>
    </xf>
    <xf numFmtId="44" fontId="1" fillId="0" borderId="3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44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>
      <alignment horizontal="left" vertical="center" wrapText="1"/>
    </xf>
    <xf numFmtId="4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left" vertical="center" wrapText="1"/>
      <protection locked="0"/>
    </xf>
    <xf numFmtId="0" fontId="1" fillId="0" borderId="50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>
      <alignment horizontal="left" vertical="center" wrapText="1"/>
    </xf>
    <xf numFmtId="44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4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left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44" fontId="0" fillId="0" borderId="9" xfId="0" applyNumberFormat="1" applyFont="1" applyFill="1" applyBorder="1" applyAlignment="1">
      <alignment horizontal="center" vertical="center" wrapText="1"/>
    </xf>
    <xf numFmtId="44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niel\Meus%20documentos\29&#186;\Controles\Tabela%20Calculad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FESP"/>
      <sheetName val="Guias"/>
      <sheetName val="Aprovada"/>
      <sheetName val="Notas 2006"/>
      <sheetName val="Notas 2007"/>
      <sheetName val="Notas 2008"/>
      <sheetName val="RC 2007"/>
      <sheetName val="Imóveis 2007"/>
    </sheetNames>
    <sheetDataSet>
      <sheetData sheetId="0">
        <row r="11">
          <cell r="D11">
            <v>1.513733468972533</v>
          </cell>
          <cell r="E11">
            <v>1.045678144764582</v>
          </cell>
        </row>
      </sheetData>
      <sheetData sheetId="2">
        <row r="6">
          <cell r="C6">
            <v>390</v>
          </cell>
          <cell r="I6">
            <v>87</v>
          </cell>
        </row>
        <row r="7">
          <cell r="C7">
            <v>1474</v>
          </cell>
          <cell r="I7">
            <v>130.01</v>
          </cell>
        </row>
        <row r="8">
          <cell r="C8">
            <v>2457</v>
          </cell>
          <cell r="I8">
            <v>203</v>
          </cell>
        </row>
        <row r="9">
          <cell r="C9">
            <v>4915</v>
          </cell>
          <cell r="I9">
            <v>290</v>
          </cell>
        </row>
        <row r="10">
          <cell r="C10">
            <v>9830</v>
          </cell>
          <cell r="I10">
            <v>391.99</v>
          </cell>
        </row>
        <row r="11">
          <cell r="C11">
            <v>19660</v>
          </cell>
          <cell r="I11">
            <v>465</v>
          </cell>
        </row>
        <row r="12">
          <cell r="C12">
            <v>29490</v>
          </cell>
          <cell r="I12">
            <v>552</v>
          </cell>
        </row>
        <row r="13">
          <cell r="C13">
            <v>39320</v>
          </cell>
          <cell r="I13">
            <v>653.99</v>
          </cell>
        </row>
        <row r="14">
          <cell r="C14">
            <v>49150</v>
          </cell>
          <cell r="I14">
            <v>741.01</v>
          </cell>
        </row>
        <row r="15">
          <cell r="C15">
            <v>58980</v>
          </cell>
          <cell r="I15">
            <v>829</v>
          </cell>
        </row>
        <row r="16">
          <cell r="C16">
            <v>68810</v>
          </cell>
          <cell r="I16">
            <v>930</v>
          </cell>
        </row>
        <row r="17">
          <cell r="C17">
            <v>78640</v>
          </cell>
          <cell r="I17">
            <v>1018.01</v>
          </cell>
        </row>
        <row r="18">
          <cell r="C18">
            <v>84470</v>
          </cell>
          <cell r="I18">
            <v>1120</v>
          </cell>
        </row>
        <row r="19">
          <cell r="C19">
            <v>98300</v>
          </cell>
          <cell r="I19">
            <v>1192</v>
          </cell>
        </row>
        <row r="20">
          <cell r="C20">
            <v>196600</v>
          </cell>
          <cell r="I20">
            <v>1323</v>
          </cell>
        </row>
        <row r="21">
          <cell r="C21">
            <v>294900</v>
          </cell>
          <cell r="I21">
            <v>1469</v>
          </cell>
        </row>
        <row r="22">
          <cell r="C22">
            <v>393200</v>
          </cell>
          <cell r="I22">
            <v>1629</v>
          </cell>
        </row>
        <row r="23">
          <cell r="C23">
            <v>600000</v>
          </cell>
          <cell r="I23">
            <v>1800</v>
          </cell>
        </row>
        <row r="24">
          <cell r="C24">
            <v>1000000</v>
          </cell>
          <cell r="I24">
            <v>2500.01</v>
          </cell>
        </row>
        <row r="25">
          <cell r="C25">
            <v>1500000</v>
          </cell>
          <cell r="I25">
            <v>3250</v>
          </cell>
        </row>
        <row r="26">
          <cell r="C26">
            <v>2000000</v>
          </cell>
          <cell r="I26">
            <v>4000.01</v>
          </cell>
        </row>
        <row r="27">
          <cell r="C27">
            <v>2500000</v>
          </cell>
          <cell r="I27">
            <v>4750</v>
          </cell>
        </row>
        <row r="28">
          <cell r="C28">
            <v>3000000</v>
          </cell>
          <cell r="I28">
            <v>5499.99</v>
          </cell>
        </row>
        <row r="29">
          <cell r="C29">
            <v>3500000</v>
          </cell>
          <cell r="I29">
            <v>6250</v>
          </cell>
        </row>
        <row r="30">
          <cell r="C30">
            <v>4000000</v>
          </cell>
          <cell r="I30">
            <v>6999.99</v>
          </cell>
        </row>
        <row r="31">
          <cell r="C31">
            <v>4500000</v>
          </cell>
          <cell r="I31">
            <v>7749.99</v>
          </cell>
        </row>
        <row r="32">
          <cell r="C32">
            <v>5000000</v>
          </cell>
          <cell r="I32">
            <v>8500.01</v>
          </cell>
        </row>
        <row r="33">
          <cell r="C33">
            <v>6000000</v>
          </cell>
          <cell r="I33">
            <v>10000.01</v>
          </cell>
        </row>
        <row r="34">
          <cell r="C34">
            <v>7000000</v>
          </cell>
          <cell r="I34">
            <v>11500</v>
          </cell>
        </row>
        <row r="35">
          <cell r="C35">
            <v>8000000</v>
          </cell>
          <cell r="I35">
            <v>13000</v>
          </cell>
        </row>
        <row r="36">
          <cell r="C36">
            <v>9000000</v>
          </cell>
          <cell r="I36">
            <v>14499.99</v>
          </cell>
        </row>
        <row r="37">
          <cell r="I37">
            <v>16000.01</v>
          </cell>
        </row>
        <row r="43">
          <cell r="I43">
            <v>30.01</v>
          </cell>
        </row>
        <row r="44">
          <cell r="I44">
            <v>7.5</v>
          </cell>
        </row>
        <row r="45">
          <cell r="I45">
            <v>14.99</v>
          </cell>
        </row>
        <row r="47">
          <cell r="I47">
            <v>40.01</v>
          </cell>
        </row>
        <row r="48">
          <cell r="I48">
            <v>10.01</v>
          </cell>
        </row>
        <row r="50">
          <cell r="I50">
            <v>80</v>
          </cell>
        </row>
        <row r="51">
          <cell r="I51">
            <v>20</v>
          </cell>
        </row>
        <row r="64">
          <cell r="I64">
            <v>22.8</v>
          </cell>
        </row>
        <row r="67">
          <cell r="I67">
            <v>29</v>
          </cell>
        </row>
        <row r="68">
          <cell r="I68">
            <v>149.99</v>
          </cell>
        </row>
        <row r="70">
          <cell r="I70">
            <v>436</v>
          </cell>
        </row>
        <row r="73">
          <cell r="I73">
            <v>33</v>
          </cell>
        </row>
        <row r="74">
          <cell r="I74">
            <v>600.01</v>
          </cell>
        </row>
        <row r="75">
          <cell r="I75">
            <v>600.01</v>
          </cell>
        </row>
        <row r="76">
          <cell r="I76">
            <v>100</v>
          </cell>
        </row>
        <row r="82">
          <cell r="I82">
            <v>577.6</v>
          </cell>
        </row>
      </sheetData>
      <sheetData sheetId="4">
        <row r="54">
          <cell r="G54">
            <v>1.08</v>
          </cell>
          <cell r="H54">
            <v>0.32</v>
          </cell>
          <cell r="I54">
            <v>0.22</v>
          </cell>
          <cell r="J54">
            <v>0.06</v>
          </cell>
          <cell r="K54">
            <v>0.06</v>
          </cell>
        </row>
        <row r="58">
          <cell r="G58">
            <v>1.65</v>
          </cell>
          <cell r="H58">
            <v>0.47</v>
          </cell>
          <cell r="I58">
            <v>0.35</v>
          </cell>
          <cell r="J58">
            <v>0.08</v>
          </cell>
          <cell r="K58">
            <v>0.08</v>
          </cell>
        </row>
        <row r="59">
          <cell r="G59">
            <v>2.68</v>
          </cell>
          <cell r="H59">
            <v>0.77</v>
          </cell>
          <cell r="I59">
            <v>0.56</v>
          </cell>
          <cell r="J59">
            <v>0.13</v>
          </cell>
          <cell r="K59">
            <v>0.13</v>
          </cell>
        </row>
        <row r="61">
          <cell r="G61">
            <v>4.26</v>
          </cell>
          <cell r="H61">
            <v>1.21</v>
          </cell>
          <cell r="I61">
            <v>0.9</v>
          </cell>
          <cell r="J61">
            <v>0.22</v>
          </cell>
          <cell r="K61">
            <v>0.22</v>
          </cell>
        </row>
        <row r="78">
          <cell r="G78">
            <v>140.89</v>
          </cell>
          <cell r="H78">
            <v>40.04</v>
          </cell>
          <cell r="I78">
            <v>29.67</v>
          </cell>
          <cell r="J78">
            <v>7.42</v>
          </cell>
          <cell r="K78">
            <v>7.42</v>
          </cell>
        </row>
        <row r="79">
          <cell r="G79">
            <v>71.16</v>
          </cell>
          <cell r="H79">
            <v>20.24</v>
          </cell>
          <cell r="I79">
            <v>14.99</v>
          </cell>
          <cell r="J79">
            <v>3.75</v>
          </cell>
          <cell r="K79">
            <v>3.75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119"/>
  <sheetViews>
    <sheetView tabSelected="1" workbookViewId="0" topLeftCell="A1">
      <selection activeCell="A81" sqref="A81"/>
    </sheetView>
  </sheetViews>
  <sheetFormatPr defaultColWidth="9.140625" defaultRowHeight="12.75"/>
  <cols>
    <col min="1" max="1" width="5.7109375" style="1" customWidth="1"/>
    <col min="2" max="2" width="5.7109375" style="2" customWidth="1"/>
    <col min="3" max="3" width="17.140625" style="2" customWidth="1"/>
    <col min="4" max="4" width="5.7109375" style="2" customWidth="1"/>
    <col min="5" max="5" width="17.140625" style="2" customWidth="1"/>
    <col min="6" max="6" width="14.7109375" style="3" hidden="1" customWidth="1"/>
    <col min="7" max="11" width="14.140625" style="3" customWidth="1"/>
    <col min="12" max="12" width="14.140625" style="4" customWidth="1"/>
    <col min="13" max="15" width="14.140625" style="3" hidden="1" customWidth="1"/>
    <col min="16" max="16" width="14.140625" style="3" customWidth="1"/>
    <col min="17" max="17" width="14.140625" style="4" customWidth="1"/>
    <col min="18" max="18" width="9.140625" style="3" customWidth="1"/>
    <col min="19" max="16384" width="9.140625" style="2" customWidth="1"/>
  </cols>
  <sheetData>
    <row r="1" ht="7.5" customHeight="1" thickBot="1"/>
    <row r="2" spans="1:17" ht="21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8"/>
    </row>
    <row r="3" spans="1:17" ht="15" customHeight="1" thickBot="1">
      <c r="A3" s="9" t="s">
        <v>1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2"/>
      <c r="N3" s="12"/>
      <c r="O3" s="12"/>
      <c r="P3" s="13"/>
      <c r="Q3" s="14"/>
    </row>
    <row r="4" spans="1:17" ht="15" customHeight="1" thickBot="1">
      <c r="A4" s="15"/>
      <c r="B4" s="16"/>
      <c r="C4" s="16"/>
      <c r="D4" s="16"/>
      <c r="E4" s="17"/>
      <c r="F4" s="18" t="s">
        <v>2</v>
      </c>
      <c r="G4" s="19" t="s">
        <v>2</v>
      </c>
      <c r="H4" s="19" t="s">
        <v>3</v>
      </c>
      <c r="I4" s="19" t="s">
        <v>4</v>
      </c>
      <c r="J4" s="19" t="s">
        <v>5</v>
      </c>
      <c r="K4" s="19" t="s">
        <v>6</v>
      </c>
      <c r="L4" s="19" t="s">
        <v>7</v>
      </c>
      <c r="M4" s="20" t="s">
        <v>8</v>
      </c>
      <c r="N4" s="20" t="s">
        <v>9</v>
      </c>
      <c r="O4" s="20"/>
      <c r="P4" s="19" t="s">
        <v>10</v>
      </c>
      <c r="Q4" s="19" t="s">
        <v>11</v>
      </c>
    </row>
    <row r="5" spans="1:17" ht="15" customHeight="1">
      <c r="A5" s="21" t="s">
        <v>12</v>
      </c>
      <c r="B5" s="22" t="s">
        <v>13</v>
      </c>
      <c r="C5" s="23">
        <v>0</v>
      </c>
      <c r="D5" s="23" t="s">
        <v>14</v>
      </c>
      <c r="E5" s="24">
        <f>IF(ABS(RIGHT(ROUND('[1]Aprovada'!C6*'[1]UFESP'!$D$11,2),2))&lt;50,ROUNDDOWN(ROUND('[1]Aprovada'!C6*'[1]UFESP'!$D$11,2),0),ROUNDUP(ROUND('[1]Aprovada'!C6*'[1]UFESP'!$D$11,2),0))</f>
        <v>590</v>
      </c>
      <c r="F5" s="25">
        <f aca="true" t="shared" si="0" ref="F5:F36">ROUND(L5*0.625,2)</f>
        <v>82.31</v>
      </c>
      <c r="G5" s="26">
        <f aca="true" t="shared" si="1" ref="G5:G36">IF(M5=L5,F5,F5-(M5-L5))</f>
        <v>82.31</v>
      </c>
      <c r="H5" s="26">
        <f aca="true" t="shared" si="2" ref="H5:H36">ROUND(L5*0.1776316,2)</f>
        <v>23.39</v>
      </c>
      <c r="I5" s="26">
        <f aca="true" t="shared" si="3" ref="I5:I36">ROUND(L5*0.13157894,2)</f>
        <v>17.33</v>
      </c>
      <c r="J5" s="26">
        <f aca="true" t="shared" si="4" ref="J5:J36">ROUND(L5*0.03289473,2)</f>
        <v>4.33</v>
      </c>
      <c r="K5" s="26">
        <f aca="true" t="shared" si="5" ref="K5:K36">ROUND(L5*0.03289473,2)</f>
        <v>4.33</v>
      </c>
      <c r="L5" s="27">
        <f>ROUND('[1]Aprovada'!I6*'[1]UFESP'!$D$11,2)</f>
        <v>131.69</v>
      </c>
      <c r="M5" s="28">
        <f>TRUNC(F5+H5+I5+J5+K5,2)</f>
        <v>131.69</v>
      </c>
      <c r="N5" s="28">
        <f aca="true" t="shared" si="6" ref="N5:N36">G5+H5+I5+J5+K5</f>
        <v>131.69</v>
      </c>
      <c r="O5" s="28" t="str">
        <f aca="true" t="shared" si="7" ref="O5:O36">IF(N5=L5,"OK!",FALSE)</f>
        <v>OK!</v>
      </c>
      <c r="P5" s="29">
        <f aca="true" t="shared" si="8" ref="P5:P36">ROUND(G5*0.01,2)</f>
        <v>0.82</v>
      </c>
      <c r="Q5" s="30">
        <f aca="true" t="shared" si="9" ref="Q5:Q36">L5+P5</f>
        <v>132.51</v>
      </c>
    </row>
    <row r="6" spans="1:17" ht="15" customHeight="1">
      <c r="A6" s="21" t="s">
        <v>15</v>
      </c>
      <c r="B6" s="22" t="s">
        <v>13</v>
      </c>
      <c r="C6" s="23">
        <f aca="true" t="shared" si="10" ref="C6:C36">E5+0.01</f>
        <v>590.01</v>
      </c>
      <c r="D6" s="23" t="s">
        <v>14</v>
      </c>
      <c r="E6" s="31">
        <f>IF(ABS(RIGHT(ROUND('[1]Aprovada'!C7*'[1]UFESP'!$D$11,2),2))&lt;50,ROUNDDOWN(ROUND('[1]Aprovada'!C7*'[1]UFESP'!$D$11,2),0),ROUNDUP(ROUND('[1]Aprovada'!C7*'[1]UFESP'!$D$11,2),0))</f>
        <v>2231</v>
      </c>
      <c r="F6" s="23">
        <f t="shared" si="0"/>
        <v>122.99</v>
      </c>
      <c r="G6" s="32">
        <f t="shared" si="1"/>
        <v>123.00000000000001</v>
      </c>
      <c r="H6" s="32">
        <f t="shared" si="2"/>
        <v>34.96</v>
      </c>
      <c r="I6" s="32">
        <f t="shared" si="3"/>
        <v>25.89</v>
      </c>
      <c r="J6" s="32">
        <f t="shared" si="4"/>
        <v>6.47</v>
      </c>
      <c r="K6" s="32">
        <f t="shared" si="5"/>
        <v>6.47</v>
      </c>
      <c r="L6" s="33">
        <f>ROUND('[1]Aprovada'!I7*'[1]UFESP'!$D$11,2)-0.01</f>
        <v>196.79000000000002</v>
      </c>
      <c r="M6" s="34">
        <f aca="true" t="shared" si="11" ref="M6:M36">ROUND(F6+H6+I6+J6+K6,2)</f>
        <v>196.78</v>
      </c>
      <c r="N6" s="34">
        <f t="shared" si="6"/>
        <v>196.79000000000002</v>
      </c>
      <c r="O6" s="34" t="str">
        <f t="shared" si="7"/>
        <v>OK!</v>
      </c>
      <c r="P6" s="35">
        <f t="shared" si="8"/>
        <v>1.23</v>
      </c>
      <c r="Q6" s="36">
        <f t="shared" si="9"/>
        <v>198.02</v>
      </c>
    </row>
    <row r="7" spans="1:17" ht="15" customHeight="1">
      <c r="A7" s="21" t="s">
        <v>16</v>
      </c>
      <c r="B7" s="22" t="s">
        <v>13</v>
      </c>
      <c r="C7" s="23">
        <f t="shared" si="10"/>
        <v>2231.01</v>
      </c>
      <c r="D7" s="23" t="s">
        <v>14</v>
      </c>
      <c r="E7" s="31">
        <f>IF(ABS(RIGHT(ROUND('[1]Aprovada'!C8*'[1]UFESP'!$D$11,2),2))&lt;50,ROUNDDOWN(ROUND('[1]Aprovada'!C8*'[1]UFESP'!$D$11,2),0),ROUNDUP(ROUND('[1]Aprovada'!C8*'[1]UFESP'!$D$11,2),0))</f>
        <v>3719</v>
      </c>
      <c r="F7" s="23">
        <f t="shared" si="0"/>
        <v>192.05</v>
      </c>
      <c r="G7" s="32">
        <f t="shared" si="1"/>
        <v>192.05</v>
      </c>
      <c r="H7" s="32">
        <f t="shared" si="2"/>
        <v>54.58</v>
      </c>
      <c r="I7" s="32">
        <f t="shared" si="3"/>
        <v>40.43</v>
      </c>
      <c r="J7" s="32">
        <f t="shared" si="4"/>
        <v>10.11</v>
      </c>
      <c r="K7" s="32">
        <f t="shared" si="5"/>
        <v>10.11</v>
      </c>
      <c r="L7" s="33">
        <f>ROUND('[1]Aprovada'!I8*'[1]UFESP'!$D$11,2)-0.01</f>
        <v>307.28000000000003</v>
      </c>
      <c r="M7" s="34">
        <f t="shared" si="11"/>
        <v>307.28</v>
      </c>
      <c r="N7" s="34">
        <f t="shared" si="6"/>
        <v>307.28000000000003</v>
      </c>
      <c r="O7" s="34" t="str">
        <f t="shared" si="7"/>
        <v>OK!</v>
      </c>
      <c r="P7" s="35">
        <f t="shared" si="8"/>
        <v>1.92</v>
      </c>
      <c r="Q7" s="36">
        <f t="shared" si="9"/>
        <v>309.20000000000005</v>
      </c>
    </row>
    <row r="8" spans="1:17" ht="15" customHeight="1">
      <c r="A8" s="21" t="s">
        <v>17</v>
      </c>
      <c r="B8" s="22" t="s">
        <v>13</v>
      </c>
      <c r="C8" s="23">
        <f t="shared" si="10"/>
        <v>3719.01</v>
      </c>
      <c r="D8" s="23" t="s">
        <v>14</v>
      </c>
      <c r="E8" s="31">
        <f>IF(ABS(RIGHT(ROUND('[1]Aprovada'!C9*'[1]UFESP'!$D$11,2),2))&lt;50,ROUNDDOWN(ROUND('[1]Aprovada'!C9*'[1]UFESP'!$D$11,2),0),ROUNDUP(ROUND('[1]Aprovada'!C9*'[1]UFESP'!$D$11,2),0))</f>
        <v>7440</v>
      </c>
      <c r="F8" s="23">
        <f t="shared" si="0"/>
        <v>274.36</v>
      </c>
      <c r="G8" s="32">
        <f t="shared" si="1"/>
        <v>274.36</v>
      </c>
      <c r="H8" s="32">
        <f t="shared" si="2"/>
        <v>77.98</v>
      </c>
      <c r="I8" s="32">
        <f t="shared" si="3"/>
        <v>57.76</v>
      </c>
      <c r="J8" s="32">
        <f t="shared" si="4"/>
        <v>14.44</v>
      </c>
      <c r="K8" s="32">
        <f t="shared" si="5"/>
        <v>14.44</v>
      </c>
      <c r="L8" s="33">
        <f>ROUND('[1]Aprovada'!I9*'[1]UFESP'!$D$11,2)</f>
        <v>438.98</v>
      </c>
      <c r="M8" s="34">
        <f t="shared" si="11"/>
        <v>438.98</v>
      </c>
      <c r="N8" s="34">
        <f t="shared" si="6"/>
        <v>438.98</v>
      </c>
      <c r="O8" s="34" t="str">
        <f t="shared" si="7"/>
        <v>OK!</v>
      </c>
      <c r="P8" s="35">
        <f t="shared" si="8"/>
        <v>2.74</v>
      </c>
      <c r="Q8" s="36">
        <f t="shared" si="9"/>
        <v>441.72</v>
      </c>
    </row>
    <row r="9" spans="1:17" ht="15" customHeight="1">
      <c r="A9" s="21" t="s">
        <v>18</v>
      </c>
      <c r="B9" s="22" t="s">
        <v>13</v>
      </c>
      <c r="C9" s="23">
        <f t="shared" si="10"/>
        <v>7440.01</v>
      </c>
      <c r="D9" s="23" t="s">
        <v>14</v>
      </c>
      <c r="E9" s="31">
        <f>IF(ABS(RIGHT(ROUND('[1]Aprovada'!C10*'[1]UFESP'!$D$11,2),2))&lt;50,ROUNDDOWN(ROUND('[1]Aprovada'!C10*'[1]UFESP'!$D$11,2),0),ROUNDUP(ROUND('[1]Aprovada'!C10*'[1]UFESP'!$D$11,2),0))</f>
        <v>14880</v>
      </c>
      <c r="F9" s="23">
        <f t="shared" si="0"/>
        <v>370.86</v>
      </c>
      <c r="G9" s="32">
        <f t="shared" si="1"/>
        <v>370.86</v>
      </c>
      <c r="H9" s="32">
        <f t="shared" si="2"/>
        <v>105.4</v>
      </c>
      <c r="I9" s="32">
        <f t="shared" si="3"/>
        <v>78.07</v>
      </c>
      <c r="J9" s="32">
        <f t="shared" si="4"/>
        <v>19.52</v>
      </c>
      <c r="K9" s="32">
        <f t="shared" si="5"/>
        <v>19.52</v>
      </c>
      <c r="L9" s="33">
        <f>ROUND('[1]Aprovada'!I10*'[1]UFESP'!$D$11,2)</f>
        <v>593.37</v>
      </c>
      <c r="M9" s="34">
        <f t="shared" si="11"/>
        <v>593.37</v>
      </c>
      <c r="N9" s="34">
        <f t="shared" si="6"/>
        <v>593.3699999999999</v>
      </c>
      <c r="O9" s="34" t="str">
        <f t="shared" si="7"/>
        <v>OK!</v>
      </c>
      <c r="P9" s="35">
        <f t="shared" si="8"/>
        <v>3.71</v>
      </c>
      <c r="Q9" s="36">
        <f t="shared" si="9"/>
        <v>597.08</v>
      </c>
    </row>
    <row r="10" spans="1:17" ht="15" customHeight="1">
      <c r="A10" s="21" t="s">
        <v>19</v>
      </c>
      <c r="B10" s="22" t="s">
        <v>13</v>
      </c>
      <c r="C10" s="23">
        <f t="shared" si="10"/>
        <v>14880.01</v>
      </c>
      <c r="D10" s="23" t="s">
        <v>14</v>
      </c>
      <c r="E10" s="31">
        <f>IF(ABS(RIGHT(ROUND('[1]Aprovada'!C11*'[1]UFESP'!$D$11,2),2))&lt;50,ROUNDDOWN(ROUND('[1]Aprovada'!C11*'[1]UFESP'!$D$11,2),0),ROUNDUP(ROUND('[1]Aprovada'!C11*'[1]UFESP'!$D$11,2),0))</f>
        <v>29760</v>
      </c>
      <c r="F10" s="23">
        <f t="shared" si="0"/>
        <v>439.93</v>
      </c>
      <c r="G10" s="32">
        <f t="shared" si="1"/>
        <v>439.93</v>
      </c>
      <c r="H10" s="32">
        <f t="shared" si="2"/>
        <v>125.03</v>
      </c>
      <c r="I10" s="32">
        <f t="shared" si="3"/>
        <v>92.62</v>
      </c>
      <c r="J10" s="32">
        <f t="shared" si="4"/>
        <v>23.15</v>
      </c>
      <c r="K10" s="32">
        <f t="shared" si="5"/>
        <v>23.15</v>
      </c>
      <c r="L10" s="33">
        <f>ROUND('[1]Aprovada'!I11*'[1]UFESP'!$D$11,2)-0.01</f>
        <v>703.88</v>
      </c>
      <c r="M10" s="34">
        <f t="shared" si="11"/>
        <v>703.88</v>
      </c>
      <c r="N10" s="34">
        <f t="shared" si="6"/>
        <v>703.88</v>
      </c>
      <c r="O10" s="34" t="str">
        <f t="shared" si="7"/>
        <v>OK!</v>
      </c>
      <c r="P10" s="35">
        <f t="shared" si="8"/>
        <v>4.4</v>
      </c>
      <c r="Q10" s="36">
        <f t="shared" si="9"/>
        <v>708.28</v>
      </c>
    </row>
    <row r="11" spans="1:17" ht="15" customHeight="1">
      <c r="A11" s="21" t="s">
        <v>20</v>
      </c>
      <c r="B11" s="22" t="s">
        <v>13</v>
      </c>
      <c r="C11" s="23">
        <f t="shared" si="10"/>
        <v>29760.01</v>
      </c>
      <c r="D11" s="23" t="s">
        <v>14</v>
      </c>
      <c r="E11" s="31">
        <f>IF(ABS(RIGHT(ROUND('[1]Aprovada'!C12*'[1]UFESP'!$D$11,2),2))&lt;50,ROUNDDOWN(ROUND('[1]Aprovada'!C12*'[1]UFESP'!$D$11,2),0),ROUNDUP(ROUND('[1]Aprovada'!C12*'[1]UFESP'!$D$11,2),0))</f>
        <v>44640</v>
      </c>
      <c r="F11" s="23">
        <f t="shared" si="0"/>
        <v>522.24</v>
      </c>
      <c r="G11" s="32">
        <f t="shared" si="1"/>
        <v>522.24</v>
      </c>
      <c r="H11" s="32">
        <f t="shared" si="2"/>
        <v>148.43</v>
      </c>
      <c r="I11" s="32">
        <f>ROUND(L11*0.13157894,2)-0.01</f>
        <v>109.94</v>
      </c>
      <c r="J11" s="32">
        <f t="shared" si="4"/>
        <v>27.49</v>
      </c>
      <c r="K11" s="32">
        <f t="shared" si="5"/>
        <v>27.49</v>
      </c>
      <c r="L11" s="33">
        <f>ROUND('[1]Aprovada'!I12*'[1]UFESP'!$D$11,2)+0.01</f>
        <v>835.59</v>
      </c>
      <c r="M11" s="34">
        <f t="shared" si="11"/>
        <v>835.59</v>
      </c>
      <c r="N11" s="34">
        <f t="shared" si="6"/>
        <v>835.5900000000001</v>
      </c>
      <c r="O11" s="34" t="str">
        <f t="shared" si="7"/>
        <v>OK!</v>
      </c>
      <c r="P11" s="35">
        <f t="shared" si="8"/>
        <v>5.22</v>
      </c>
      <c r="Q11" s="36">
        <f t="shared" si="9"/>
        <v>840.8100000000001</v>
      </c>
    </row>
    <row r="12" spans="1:17" ht="15" customHeight="1">
      <c r="A12" s="21" t="s">
        <v>21</v>
      </c>
      <c r="B12" s="22" t="s">
        <v>13</v>
      </c>
      <c r="C12" s="23">
        <f t="shared" si="10"/>
        <v>44640.01</v>
      </c>
      <c r="D12" s="23" t="s">
        <v>14</v>
      </c>
      <c r="E12" s="31">
        <f>IF(ABS(RIGHT(ROUND('[1]Aprovada'!C13*'[1]UFESP'!$D$11,2),2))&lt;50,ROUNDDOWN(ROUND('[1]Aprovada'!C13*'[1]UFESP'!$D$11,2),0),ROUNDUP(ROUND('[1]Aprovada'!C13*'[1]UFESP'!$D$11,2),0))</f>
        <v>59520</v>
      </c>
      <c r="F12" s="23">
        <f t="shared" si="0"/>
        <v>618.73</v>
      </c>
      <c r="G12" s="32">
        <f t="shared" si="1"/>
        <v>618.73</v>
      </c>
      <c r="H12" s="32">
        <f t="shared" si="2"/>
        <v>175.85</v>
      </c>
      <c r="I12" s="32">
        <f t="shared" si="3"/>
        <v>130.26</v>
      </c>
      <c r="J12" s="32">
        <f t="shared" si="4"/>
        <v>32.56</v>
      </c>
      <c r="K12" s="32">
        <f t="shared" si="5"/>
        <v>32.56</v>
      </c>
      <c r="L12" s="33">
        <f>ROUND('[1]Aprovada'!I13*'[1]UFESP'!$D$11,2)-0.01</f>
        <v>989.96</v>
      </c>
      <c r="M12" s="34">
        <f t="shared" si="11"/>
        <v>989.96</v>
      </c>
      <c r="N12" s="34">
        <f t="shared" si="6"/>
        <v>989.96</v>
      </c>
      <c r="O12" s="34" t="str">
        <f t="shared" si="7"/>
        <v>OK!</v>
      </c>
      <c r="P12" s="35">
        <f t="shared" si="8"/>
        <v>6.19</v>
      </c>
      <c r="Q12" s="36">
        <f t="shared" si="9"/>
        <v>996.1500000000001</v>
      </c>
    </row>
    <row r="13" spans="1:17" ht="15" customHeight="1">
      <c r="A13" s="21" t="s">
        <v>22</v>
      </c>
      <c r="B13" s="22" t="s">
        <v>13</v>
      </c>
      <c r="C13" s="23">
        <f t="shared" si="10"/>
        <v>59520.01</v>
      </c>
      <c r="D13" s="23" t="s">
        <v>14</v>
      </c>
      <c r="E13" s="31">
        <f>IF(ABS(RIGHT(ROUND('[1]Aprovada'!C14*'[1]UFESP'!$D$11,2),2))&lt;50,ROUNDDOWN(ROUND('[1]Aprovada'!C14*'[1]UFESP'!$D$11,2),0),ROUNDUP(ROUND('[1]Aprovada'!C14*'[1]UFESP'!$D$11,2),0))</f>
        <v>74400</v>
      </c>
      <c r="F13" s="23">
        <f t="shared" si="0"/>
        <v>701.06</v>
      </c>
      <c r="G13" s="32">
        <f t="shared" si="1"/>
        <v>701.06</v>
      </c>
      <c r="H13" s="32">
        <f t="shared" si="2"/>
        <v>199.25</v>
      </c>
      <c r="I13" s="32">
        <f t="shared" si="3"/>
        <v>147.59</v>
      </c>
      <c r="J13" s="32">
        <f t="shared" si="4"/>
        <v>36.9</v>
      </c>
      <c r="K13" s="32">
        <f t="shared" si="5"/>
        <v>36.9</v>
      </c>
      <c r="L13" s="33">
        <f>ROUND('[1]Aprovada'!I14*'[1]UFESP'!$D$11,2)+0.01</f>
        <v>1121.7</v>
      </c>
      <c r="M13" s="34">
        <f t="shared" si="11"/>
        <v>1121.7</v>
      </c>
      <c r="N13" s="34">
        <f t="shared" si="6"/>
        <v>1121.7</v>
      </c>
      <c r="O13" s="34" t="str">
        <f t="shared" si="7"/>
        <v>OK!</v>
      </c>
      <c r="P13" s="35">
        <f t="shared" si="8"/>
        <v>7.01</v>
      </c>
      <c r="Q13" s="36">
        <f t="shared" si="9"/>
        <v>1128.71</v>
      </c>
    </row>
    <row r="14" spans="1:17" ht="15" customHeight="1">
      <c r="A14" s="21" t="s">
        <v>23</v>
      </c>
      <c r="B14" s="22" t="s">
        <v>13</v>
      </c>
      <c r="C14" s="23">
        <f t="shared" si="10"/>
        <v>74400.01</v>
      </c>
      <c r="D14" s="23" t="s">
        <v>14</v>
      </c>
      <c r="E14" s="31">
        <f>IF(ABS(RIGHT(ROUND('[1]Aprovada'!C15*'[1]UFESP'!$D$11,2),2))&lt;50,ROUNDDOWN(ROUND('[1]Aprovada'!C15*'[1]UFESP'!$D$11,2),0),ROUNDUP(ROUND('[1]Aprovada'!C15*'[1]UFESP'!$D$11,2),0))</f>
        <v>89280</v>
      </c>
      <c r="F14" s="23">
        <f t="shared" si="0"/>
        <v>784.31</v>
      </c>
      <c r="G14" s="32">
        <f t="shared" si="1"/>
        <v>784.3</v>
      </c>
      <c r="H14" s="32">
        <f t="shared" si="2"/>
        <v>222.91</v>
      </c>
      <c r="I14" s="32">
        <f t="shared" si="3"/>
        <v>165.12</v>
      </c>
      <c r="J14" s="32">
        <f t="shared" si="4"/>
        <v>41.28</v>
      </c>
      <c r="K14" s="32">
        <f t="shared" si="5"/>
        <v>41.28</v>
      </c>
      <c r="L14" s="33">
        <f>ROUND('[1]Aprovada'!I15*'[1]UFESP'!$D$11,2)</f>
        <v>1254.89</v>
      </c>
      <c r="M14" s="34">
        <f t="shared" si="11"/>
        <v>1254.9</v>
      </c>
      <c r="N14" s="34">
        <f t="shared" si="6"/>
        <v>1254.8899999999999</v>
      </c>
      <c r="O14" s="34" t="str">
        <f t="shared" si="7"/>
        <v>OK!</v>
      </c>
      <c r="P14" s="35">
        <f t="shared" si="8"/>
        <v>7.84</v>
      </c>
      <c r="Q14" s="36">
        <f t="shared" si="9"/>
        <v>1262.73</v>
      </c>
    </row>
    <row r="15" spans="1:17" ht="15" customHeight="1">
      <c r="A15" s="21" t="s">
        <v>24</v>
      </c>
      <c r="B15" s="22" t="s">
        <v>13</v>
      </c>
      <c r="C15" s="23">
        <f t="shared" si="10"/>
        <v>89280.01</v>
      </c>
      <c r="D15" s="23" t="s">
        <v>14</v>
      </c>
      <c r="E15" s="31">
        <f>IF(ABS(RIGHT(ROUND('[1]Aprovada'!C16*'[1]UFESP'!$D$11,2),2))&lt;50,ROUNDDOWN(ROUND('[1]Aprovada'!C16*'[1]UFESP'!$D$11,2),0),ROUNDUP(ROUND('[1]Aprovada'!C16*'[1]UFESP'!$D$11,2),0))</f>
        <v>104160</v>
      </c>
      <c r="F15" s="23">
        <f t="shared" si="0"/>
        <v>879.86</v>
      </c>
      <c r="G15" s="32">
        <f t="shared" si="1"/>
        <v>879.86</v>
      </c>
      <c r="H15" s="32">
        <f t="shared" si="2"/>
        <v>250.06</v>
      </c>
      <c r="I15" s="32">
        <f t="shared" si="3"/>
        <v>185.23</v>
      </c>
      <c r="J15" s="32">
        <f t="shared" si="4"/>
        <v>46.31</v>
      </c>
      <c r="K15" s="32">
        <f t="shared" si="5"/>
        <v>46.31</v>
      </c>
      <c r="L15" s="33">
        <f>ROUND('[1]Aprovada'!I16*'[1]UFESP'!$D$11,2)</f>
        <v>1407.77</v>
      </c>
      <c r="M15" s="34">
        <f t="shared" si="11"/>
        <v>1407.77</v>
      </c>
      <c r="N15" s="34">
        <f t="shared" si="6"/>
        <v>1407.77</v>
      </c>
      <c r="O15" s="34" t="str">
        <f t="shared" si="7"/>
        <v>OK!</v>
      </c>
      <c r="P15" s="35">
        <f t="shared" si="8"/>
        <v>8.8</v>
      </c>
      <c r="Q15" s="36">
        <f t="shared" si="9"/>
        <v>1416.57</v>
      </c>
    </row>
    <row r="16" spans="1:17" ht="15" customHeight="1">
      <c r="A16" s="21" t="s">
        <v>25</v>
      </c>
      <c r="B16" s="22" t="s">
        <v>13</v>
      </c>
      <c r="C16" s="23">
        <f t="shared" si="10"/>
        <v>104160.01</v>
      </c>
      <c r="D16" s="23" t="s">
        <v>14</v>
      </c>
      <c r="E16" s="31">
        <f>IF(ABS(RIGHT(ROUND('[1]Aprovada'!C17*'[1]UFESP'!$D$11,2),2))&lt;50,ROUNDDOWN(ROUND('[1]Aprovada'!C17*'[1]UFESP'!$D$11,2),0),ROUNDUP(ROUND('[1]Aprovada'!C17*'[1]UFESP'!$D$11,2),0))</f>
        <v>119040</v>
      </c>
      <c r="F16" s="23">
        <f t="shared" si="0"/>
        <v>963.12</v>
      </c>
      <c r="G16" s="32">
        <f t="shared" si="1"/>
        <v>963.12</v>
      </c>
      <c r="H16" s="32">
        <f t="shared" si="2"/>
        <v>273.73</v>
      </c>
      <c r="I16" s="32">
        <f t="shared" si="3"/>
        <v>202.76</v>
      </c>
      <c r="J16" s="32">
        <f t="shared" si="4"/>
        <v>50.69</v>
      </c>
      <c r="K16" s="32">
        <f t="shared" si="5"/>
        <v>50.69</v>
      </c>
      <c r="L16" s="33">
        <f>ROUND('[1]Aprovada'!I17*'[1]UFESP'!$D$11,2)-0.01</f>
        <v>1540.99</v>
      </c>
      <c r="M16" s="34">
        <f t="shared" si="11"/>
        <v>1540.99</v>
      </c>
      <c r="N16" s="34">
        <f t="shared" si="6"/>
        <v>1540.99</v>
      </c>
      <c r="O16" s="34" t="str">
        <f t="shared" si="7"/>
        <v>OK!</v>
      </c>
      <c r="P16" s="35">
        <f t="shared" si="8"/>
        <v>9.63</v>
      </c>
      <c r="Q16" s="36">
        <f t="shared" si="9"/>
        <v>1550.6200000000001</v>
      </c>
    </row>
    <row r="17" spans="1:17" ht="15" customHeight="1">
      <c r="A17" s="21" t="s">
        <v>26</v>
      </c>
      <c r="B17" s="22" t="s">
        <v>13</v>
      </c>
      <c r="C17" s="23">
        <f t="shared" si="10"/>
        <v>119040.01</v>
      </c>
      <c r="D17" s="23" t="s">
        <v>14</v>
      </c>
      <c r="E17" s="31">
        <f>IF(ABS(RIGHT(ROUND('[1]Aprovada'!C18*'[1]UFESP'!$D$11,2),2))&lt;50,ROUNDDOWN(ROUND('[1]Aprovada'!C18*'[1]UFESP'!$D$11,2),0),ROUNDUP(ROUND('[1]Aprovada'!C18*'[1]UFESP'!$D$11,2),0))</f>
        <v>127865</v>
      </c>
      <c r="F17" s="23">
        <f t="shared" si="0"/>
        <v>1059.61</v>
      </c>
      <c r="G17" s="32">
        <f t="shared" si="1"/>
        <v>1059.61</v>
      </c>
      <c r="H17" s="32">
        <f t="shared" si="2"/>
        <v>301.15</v>
      </c>
      <c r="I17" s="32">
        <f t="shared" si="3"/>
        <v>223.08</v>
      </c>
      <c r="J17" s="32">
        <f t="shared" si="4"/>
        <v>55.77</v>
      </c>
      <c r="K17" s="32">
        <f t="shared" si="5"/>
        <v>55.77</v>
      </c>
      <c r="L17" s="33">
        <f>ROUND('[1]Aprovada'!I18*'[1]UFESP'!$D$11,2)</f>
        <v>1695.38</v>
      </c>
      <c r="M17" s="34">
        <f t="shared" si="11"/>
        <v>1695.38</v>
      </c>
      <c r="N17" s="34">
        <f t="shared" si="6"/>
        <v>1695.3799999999997</v>
      </c>
      <c r="O17" s="34" t="str">
        <f t="shared" si="7"/>
        <v>OK!</v>
      </c>
      <c r="P17" s="35">
        <f t="shared" si="8"/>
        <v>10.6</v>
      </c>
      <c r="Q17" s="36">
        <f t="shared" si="9"/>
        <v>1705.98</v>
      </c>
    </row>
    <row r="18" spans="1:17" ht="15" customHeight="1">
      <c r="A18" s="21" t="s">
        <v>27</v>
      </c>
      <c r="B18" s="22" t="s">
        <v>13</v>
      </c>
      <c r="C18" s="23">
        <f t="shared" si="10"/>
        <v>127865.01</v>
      </c>
      <c r="D18" s="23" t="s">
        <v>14</v>
      </c>
      <c r="E18" s="31">
        <f>IF(ABS(RIGHT(ROUND('[1]Aprovada'!C19*'[1]UFESP'!$D$11,2),2))&lt;50,ROUNDDOWN(ROUND('[1]Aprovada'!C19*'[1]UFESP'!$D$11,2),0),ROUNDUP(ROUND('[1]Aprovada'!C19*'[1]UFESP'!$D$11,2),0))</f>
        <v>148800</v>
      </c>
      <c r="F18" s="23">
        <f t="shared" si="0"/>
        <v>1127.73</v>
      </c>
      <c r="G18" s="32">
        <f t="shared" si="1"/>
        <v>1127.73</v>
      </c>
      <c r="H18" s="32">
        <f t="shared" si="2"/>
        <v>320.51</v>
      </c>
      <c r="I18" s="32">
        <f t="shared" si="3"/>
        <v>237.42</v>
      </c>
      <c r="J18" s="32">
        <f t="shared" si="4"/>
        <v>59.35</v>
      </c>
      <c r="K18" s="32">
        <f t="shared" si="5"/>
        <v>59.35</v>
      </c>
      <c r="L18" s="33">
        <f>ROUND('[1]Aprovada'!I19*'[1]UFESP'!$D$11,2)-0.01</f>
        <v>1804.36</v>
      </c>
      <c r="M18" s="34">
        <f t="shared" si="11"/>
        <v>1804.36</v>
      </c>
      <c r="N18" s="34">
        <f t="shared" si="6"/>
        <v>1804.36</v>
      </c>
      <c r="O18" s="34" t="str">
        <f t="shared" si="7"/>
        <v>OK!</v>
      </c>
      <c r="P18" s="35">
        <f t="shared" si="8"/>
        <v>11.28</v>
      </c>
      <c r="Q18" s="36">
        <f t="shared" si="9"/>
        <v>1815.6399999999999</v>
      </c>
    </row>
    <row r="19" spans="1:17" ht="15" customHeight="1">
      <c r="A19" s="21" t="s">
        <v>28</v>
      </c>
      <c r="B19" s="22" t="s">
        <v>13</v>
      </c>
      <c r="C19" s="23">
        <f t="shared" si="10"/>
        <v>148800.01</v>
      </c>
      <c r="D19" s="23" t="s">
        <v>14</v>
      </c>
      <c r="E19" s="31">
        <f>IF(ABS(RIGHT(ROUND('[1]Aprovada'!C20*'[1]UFESP'!$D$11,2),2))&lt;50,ROUNDDOWN(ROUND('[1]Aprovada'!C20*'[1]UFESP'!$D$11,2),0),ROUNDUP(ROUND('[1]Aprovada'!C20*'[1]UFESP'!$D$11,2),0))</f>
        <v>297600</v>
      </c>
      <c r="F19" s="23">
        <f t="shared" si="0"/>
        <v>1251.68</v>
      </c>
      <c r="G19" s="32">
        <f t="shared" si="1"/>
        <v>1251.67</v>
      </c>
      <c r="H19" s="32">
        <f t="shared" si="2"/>
        <v>355.74</v>
      </c>
      <c r="I19" s="32">
        <f t="shared" si="3"/>
        <v>263.51</v>
      </c>
      <c r="J19" s="32">
        <f t="shared" si="4"/>
        <v>65.88</v>
      </c>
      <c r="K19" s="32">
        <f t="shared" si="5"/>
        <v>65.88</v>
      </c>
      <c r="L19" s="33">
        <f>ROUND('[1]Aprovada'!I20*'[1]UFESP'!$D$11,2)+0.01</f>
        <v>2002.68</v>
      </c>
      <c r="M19" s="34">
        <f t="shared" si="11"/>
        <v>2002.69</v>
      </c>
      <c r="N19" s="34">
        <f t="shared" si="6"/>
        <v>2002.6800000000003</v>
      </c>
      <c r="O19" s="34" t="str">
        <f t="shared" si="7"/>
        <v>OK!</v>
      </c>
      <c r="P19" s="35">
        <f t="shared" si="8"/>
        <v>12.52</v>
      </c>
      <c r="Q19" s="36">
        <f t="shared" si="9"/>
        <v>2015.2</v>
      </c>
    </row>
    <row r="20" spans="1:17" ht="15" customHeight="1">
      <c r="A20" s="21" t="s">
        <v>29</v>
      </c>
      <c r="B20" s="22" t="s">
        <v>13</v>
      </c>
      <c r="C20" s="23">
        <f t="shared" si="10"/>
        <v>297600.01</v>
      </c>
      <c r="D20" s="23" t="s">
        <v>14</v>
      </c>
      <c r="E20" s="31">
        <f>IF(ABS(RIGHT(ROUND('[1]Aprovada'!C21*'[1]UFESP'!$D$11,2),2))&lt;50,ROUNDDOWN(ROUND('[1]Aprovada'!C21*'[1]UFESP'!$D$11,2),0),ROUNDUP(ROUND('[1]Aprovada'!C21*'[1]UFESP'!$D$11,2),0))</f>
        <v>446400</v>
      </c>
      <c r="F20" s="23">
        <f t="shared" si="0"/>
        <v>1389.8</v>
      </c>
      <c r="G20" s="32">
        <f t="shared" si="1"/>
        <v>1389.8</v>
      </c>
      <c r="H20" s="32">
        <f>ROUND(L20*0.1776316,2)-0.01</f>
        <v>394.99</v>
      </c>
      <c r="I20" s="32">
        <f t="shared" si="3"/>
        <v>292.59</v>
      </c>
      <c r="J20" s="32">
        <f t="shared" si="4"/>
        <v>73.15</v>
      </c>
      <c r="K20" s="32">
        <f t="shared" si="5"/>
        <v>73.15</v>
      </c>
      <c r="L20" s="33">
        <f>ROUND('[1]Aprovada'!I21*'[1]UFESP'!$D$11,2)+0.01</f>
        <v>2223.6800000000003</v>
      </c>
      <c r="M20" s="34">
        <f t="shared" si="11"/>
        <v>2223.68</v>
      </c>
      <c r="N20" s="34">
        <f t="shared" si="6"/>
        <v>2223.6800000000003</v>
      </c>
      <c r="O20" s="34" t="str">
        <f t="shared" si="7"/>
        <v>OK!</v>
      </c>
      <c r="P20" s="35">
        <f t="shared" si="8"/>
        <v>13.9</v>
      </c>
      <c r="Q20" s="36">
        <f t="shared" si="9"/>
        <v>2237.5800000000004</v>
      </c>
    </row>
    <row r="21" spans="1:17" ht="15" customHeight="1">
      <c r="A21" s="21" t="s">
        <v>30</v>
      </c>
      <c r="B21" s="22" t="s">
        <v>13</v>
      </c>
      <c r="C21" s="23">
        <f t="shared" si="10"/>
        <v>446400.01</v>
      </c>
      <c r="D21" s="23" t="s">
        <v>14</v>
      </c>
      <c r="E21" s="31">
        <f>IF(ABS(RIGHT(ROUND('[1]Aprovada'!C22*'[1]UFESP'!$D$11,2),2))&lt;50,ROUNDDOWN(ROUND('[1]Aprovada'!C22*'[1]UFESP'!$D$11,2),0),ROUNDUP(ROUND('[1]Aprovada'!C22*'[1]UFESP'!$D$11,2),0))</f>
        <v>595200</v>
      </c>
      <c r="F21" s="23">
        <f t="shared" si="0"/>
        <v>1541.17</v>
      </c>
      <c r="G21" s="32">
        <f t="shared" si="1"/>
        <v>1541.17</v>
      </c>
      <c r="H21" s="32">
        <f t="shared" si="2"/>
        <v>438.02</v>
      </c>
      <c r="I21" s="32">
        <f t="shared" si="3"/>
        <v>324.46</v>
      </c>
      <c r="J21" s="32">
        <f t="shared" si="4"/>
        <v>81.11</v>
      </c>
      <c r="K21" s="32">
        <f t="shared" si="5"/>
        <v>81.11</v>
      </c>
      <c r="L21" s="33">
        <f>ROUND('[1]Aprovada'!I22*'[1]UFESP'!$D$11,2)</f>
        <v>2465.87</v>
      </c>
      <c r="M21" s="34">
        <f t="shared" si="11"/>
        <v>2465.87</v>
      </c>
      <c r="N21" s="34">
        <f t="shared" si="6"/>
        <v>2465.8700000000003</v>
      </c>
      <c r="O21" s="34" t="str">
        <f t="shared" si="7"/>
        <v>OK!</v>
      </c>
      <c r="P21" s="35">
        <f t="shared" si="8"/>
        <v>15.41</v>
      </c>
      <c r="Q21" s="36">
        <f t="shared" si="9"/>
        <v>2481.2799999999997</v>
      </c>
    </row>
    <row r="22" spans="1:17" ht="15" customHeight="1">
      <c r="A22" s="21" t="s">
        <v>31</v>
      </c>
      <c r="B22" s="22" t="s">
        <v>13</v>
      </c>
      <c r="C22" s="23">
        <f t="shared" si="10"/>
        <v>595200.01</v>
      </c>
      <c r="D22" s="23" t="s">
        <v>14</v>
      </c>
      <c r="E22" s="31">
        <f>IF(ABS(RIGHT(ROUND('[1]Aprovada'!C23*'[1]UFESP'!$D$11,2),2))&lt;50,ROUNDDOWN(ROUND('[1]Aprovada'!C23*'[1]UFESP'!$D$11,2),0),ROUNDUP(ROUND('[1]Aprovada'!C23*'[1]UFESP'!$D$11,2),0))</f>
        <v>908240</v>
      </c>
      <c r="F22" s="23">
        <f t="shared" si="0"/>
        <v>1702.96</v>
      </c>
      <c r="G22" s="32">
        <f t="shared" si="1"/>
        <v>1702.9500000000003</v>
      </c>
      <c r="H22" s="32">
        <f t="shared" si="2"/>
        <v>484</v>
      </c>
      <c r="I22" s="32">
        <f t="shared" si="3"/>
        <v>358.52</v>
      </c>
      <c r="J22" s="32">
        <f t="shared" si="4"/>
        <v>89.63</v>
      </c>
      <c r="K22" s="32">
        <f t="shared" si="5"/>
        <v>89.63</v>
      </c>
      <c r="L22" s="33">
        <f>ROUND('[1]Aprovada'!I23*'[1]UFESP'!$D$11,2)+0.01</f>
        <v>2724.73</v>
      </c>
      <c r="M22" s="34">
        <f t="shared" si="11"/>
        <v>2724.74</v>
      </c>
      <c r="N22" s="34">
        <f t="shared" si="6"/>
        <v>2724.7300000000005</v>
      </c>
      <c r="O22" s="34" t="str">
        <f t="shared" si="7"/>
        <v>OK!</v>
      </c>
      <c r="P22" s="35">
        <f t="shared" si="8"/>
        <v>17.03</v>
      </c>
      <c r="Q22" s="36">
        <f t="shared" si="9"/>
        <v>2741.76</v>
      </c>
    </row>
    <row r="23" spans="1:17" ht="15" customHeight="1">
      <c r="A23" s="21" t="s">
        <v>32</v>
      </c>
      <c r="B23" s="22" t="s">
        <v>13</v>
      </c>
      <c r="C23" s="23">
        <f t="shared" si="10"/>
        <v>908240.01</v>
      </c>
      <c r="D23" s="23" t="s">
        <v>14</v>
      </c>
      <c r="E23" s="31">
        <f>IF(ABS(RIGHT(ROUND('[1]Aprovada'!C24*'[1]UFESP'!$D$11,2),2))&lt;50,ROUNDDOWN(ROUND('[1]Aprovada'!C24*'[1]UFESP'!$D$11,2),0),ROUNDUP(ROUND('[1]Aprovada'!C24*'[1]UFESP'!$D$11,2),0))</f>
        <v>1513733</v>
      </c>
      <c r="F23" s="23">
        <f t="shared" si="0"/>
        <v>2365.23</v>
      </c>
      <c r="G23" s="32">
        <f t="shared" si="1"/>
        <v>2365.2200000000003</v>
      </c>
      <c r="H23" s="32">
        <f t="shared" si="2"/>
        <v>672.22</v>
      </c>
      <c r="I23" s="32">
        <f t="shared" si="3"/>
        <v>497.94</v>
      </c>
      <c r="J23" s="32">
        <f t="shared" si="4"/>
        <v>124.49</v>
      </c>
      <c r="K23" s="32">
        <f t="shared" si="5"/>
        <v>124.49</v>
      </c>
      <c r="L23" s="33">
        <f>ROUND('[1]Aprovada'!I24*'[1]UFESP'!$D$11,2)+0.01</f>
        <v>3784.36</v>
      </c>
      <c r="M23" s="34">
        <f t="shared" si="11"/>
        <v>3784.37</v>
      </c>
      <c r="N23" s="34">
        <f t="shared" si="6"/>
        <v>3784.36</v>
      </c>
      <c r="O23" s="34" t="str">
        <f t="shared" si="7"/>
        <v>OK!</v>
      </c>
      <c r="P23" s="35">
        <f t="shared" si="8"/>
        <v>23.65</v>
      </c>
      <c r="Q23" s="36">
        <f t="shared" si="9"/>
        <v>3808.01</v>
      </c>
    </row>
    <row r="24" spans="1:17" ht="15" customHeight="1">
      <c r="A24" s="21" t="s">
        <v>33</v>
      </c>
      <c r="B24" s="22" t="s">
        <v>13</v>
      </c>
      <c r="C24" s="23">
        <f t="shared" si="10"/>
        <v>1513733.01</v>
      </c>
      <c r="D24" s="23" t="s">
        <v>14</v>
      </c>
      <c r="E24" s="31">
        <f>IF(ABS(RIGHT(ROUND('[1]Aprovada'!C25*'[1]UFESP'!$D$11,2),2))&lt;50,ROUNDDOWN(ROUND('[1]Aprovada'!C25*'[1]UFESP'!$D$11,2),0),ROUNDUP(ROUND('[1]Aprovada'!C25*'[1]UFESP'!$D$11,2),0))</f>
        <v>2270600</v>
      </c>
      <c r="F24" s="23">
        <f t="shared" si="0"/>
        <v>3074.77</v>
      </c>
      <c r="G24" s="32">
        <f t="shared" si="1"/>
        <v>3074.77</v>
      </c>
      <c r="H24" s="32">
        <f t="shared" si="2"/>
        <v>873.88</v>
      </c>
      <c r="I24" s="32">
        <f t="shared" si="3"/>
        <v>647.32</v>
      </c>
      <c r="J24" s="32">
        <f t="shared" si="4"/>
        <v>161.83</v>
      </c>
      <c r="K24" s="32">
        <f t="shared" si="5"/>
        <v>161.83</v>
      </c>
      <c r="L24" s="33">
        <f>ROUND('[1]Aprovada'!I25*'[1]UFESP'!$D$11,2)</f>
        <v>4919.63</v>
      </c>
      <c r="M24" s="34">
        <f t="shared" si="11"/>
        <v>4919.63</v>
      </c>
      <c r="N24" s="34">
        <f t="shared" si="6"/>
        <v>4919.63</v>
      </c>
      <c r="O24" s="34" t="str">
        <f t="shared" si="7"/>
        <v>OK!</v>
      </c>
      <c r="P24" s="35">
        <f t="shared" si="8"/>
        <v>30.75</v>
      </c>
      <c r="Q24" s="36">
        <f t="shared" si="9"/>
        <v>4950.38</v>
      </c>
    </row>
    <row r="25" spans="1:17" ht="15" customHeight="1">
      <c r="A25" s="21" t="s">
        <v>34</v>
      </c>
      <c r="B25" s="22" t="s">
        <v>13</v>
      </c>
      <c r="C25" s="23">
        <f t="shared" si="10"/>
        <v>2270600.01</v>
      </c>
      <c r="D25" s="23" t="s">
        <v>14</v>
      </c>
      <c r="E25" s="31">
        <f>IF(ABS(RIGHT(ROUND('[1]Aprovada'!C26*'[1]UFESP'!$D$11,2),2))&lt;50,ROUNDDOWN(ROUND('[1]Aprovada'!C26*'[1]UFESP'!$D$11,2),0),ROUNDUP(ROUND('[1]Aprovada'!C26*'[1]UFESP'!$D$11,2),0))</f>
        <v>3027467</v>
      </c>
      <c r="F25" s="23">
        <f t="shared" si="0"/>
        <v>3784.34</v>
      </c>
      <c r="G25" s="32">
        <f t="shared" si="1"/>
        <v>3784.34</v>
      </c>
      <c r="H25" s="32">
        <f t="shared" si="2"/>
        <v>1075.55</v>
      </c>
      <c r="I25" s="32">
        <f t="shared" si="3"/>
        <v>796.7</v>
      </c>
      <c r="J25" s="32">
        <f t="shared" si="4"/>
        <v>199.18</v>
      </c>
      <c r="K25" s="32">
        <f t="shared" si="5"/>
        <v>199.18</v>
      </c>
      <c r="L25" s="33">
        <f>ROUND('[1]Aprovada'!I26*'[1]UFESP'!$D$11,2)</f>
        <v>6054.95</v>
      </c>
      <c r="M25" s="34">
        <f t="shared" si="11"/>
        <v>6054.95</v>
      </c>
      <c r="N25" s="34">
        <f t="shared" si="6"/>
        <v>6054.950000000001</v>
      </c>
      <c r="O25" s="34" t="str">
        <f t="shared" si="7"/>
        <v>OK!</v>
      </c>
      <c r="P25" s="35">
        <f t="shared" si="8"/>
        <v>37.84</v>
      </c>
      <c r="Q25" s="36">
        <f t="shared" si="9"/>
        <v>6092.79</v>
      </c>
    </row>
    <row r="26" spans="1:17" ht="15" customHeight="1">
      <c r="A26" s="21" t="s">
        <v>35</v>
      </c>
      <c r="B26" s="22" t="s">
        <v>13</v>
      </c>
      <c r="C26" s="23">
        <f t="shared" si="10"/>
        <v>3027467.01</v>
      </c>
      <c r="D26" s="23" t="s">
        <v>14</v>
      </c>
      <c r="E26" s="31">
        <f>IF(ABS(RIGHT(ROUND('[1]Aprovada'!C27*'[1]UFESP'!$D$11,2),2))&lt;50,ROUNDDOWN(ROUND('[1]Aprovada'!C27*'[1]UFESP'!$D$11,2),0),ROUNDUP(ROUND('[1]Aprovada'!C27*'[1]UFESP'!$D$11,2),0))</f>
        <v>3784334</v>
      </c>
      <c r="F26" s="23">
        <f t="shared" si="0"/>
        <v>4493.89</v>
      </c>
      <c r="G26" s="32">
        <f t="shared" si="1"/>
        <v>4493.9</v>
      </c>
      <c r="H26" s="32">
        <f t="shared" si="2"/>
        <v>1277.21</v>
      </c>
      <c r="I26" s="32">
        <f t="shared" si="3"/>
        <v>946.08</v>
      </c>
      <c r="J26" s="32">
        <f t="shared" si="4"/>
        <v>236.52</v>
      </c>
      <c r="K26" s="32">
        <f t="shared" si="5"/>
        <v>236.52</v>
      </c>
      <c r="L26" s="33">
        <f>ROUND('[1]Aprovada'!I27*'[1]UFESP'!$D$11,2)</f>
        <v>7190.23</v>
      </c>
      <c r="M26" s="34">
        <f t="shared" si="11"/>
        <v>7190.22</v>
      </c>
      <c r="N26" s="34">
        <f t="shared" si="6"/>
        <v>7190.2300000000005</v>
      </c>
      <c r="O26" s="34" t="str">
        <f t="shared" si="7"/>
        <v>OK!</v>
      </c>
      <c r="P26" s="35">
        <f t="shared" si="8"/>
        <v>44.94</v>
      </c>
      <c r="Q26" s="36">
        <f t="shared" si="9"/>
        <v>7235.169999999999</v>
      </c>
    </row>
    <row r="27" spans="1:17" ht="15" customHeight="1">
      <c r="A27" s="21" t="s">
        <v>36</v>
      </c>
      <c r="B27" s="22" t="s">
        <v>13</v>
      </c>
      <c r="C27" s="23">
        <f t="shared" si="10"/>
        <v>3784334.01</v>
      </c>
      <c r="D27" s="23" t="s">
        <v>14</v>
      </c>
      <c r="E27" s="31">
        <f>IF(ABS(RIGHT(ROUND('[1]Aprovada'!C28*'[1]UFESP'!$D$11,2),2))&lt;50,ROUNDDOWN(ROUND('[1]Aprovada'!C28*'[1]UFESP'!$D$11,2),0),ROUNDUP(ROUND('[1]Aprovada'!C28*'[1]UFESP'!$D$11,2),0))</f>
        <v>4541200</v>
      </c>
      <c r="F27" s="23">
        <f t="shared" si="0"/>
        <v>5203.46</v>
      </c>
      <c r="G27" s="32">
        <f t="shared" si="1"/>
        <v>5203.45</v>
      </c>
      <c r="H27" s="32">
        <f t="shared" si="2"/>
        <v>1478.88</v>
      </c>
      <c r="I27" s="32">
        <f t="shared" si="3"/>
        <v>1095.46</v>
      </c>
      <c r="J27" s="32">
        <f t="shared" si="4"/>
        <v>273.87</v>
      </c>
      <c r="K27" s="32">
        <f t="shared" si="5"/>
        <v>273.87</v>
      </c>
      <c r="L27" s="33">
        <f>ROUND('[1]Aprovada'!I28*'[1]UFESP'!$D$11,2)+0.01</f>
        <v>8325.53</v>
      </c>
      <c r="M27" s="34">
        <f t="shared" si="11"/>
        <v>8325.54</v>
      </c>
      <c r="N27" s="34">
        <f t="shared" si="6"/>
        <v>8325.53</v>
      </c>
      <c r="O27" s="34" t="str">
        <f t="shared" si="7"/>
        <v>OK!</v>
      </c>
      <c r="P27" s="35">
        <f t="shared" si="8"/>
        <v>52.03</v>
      </c>
      <c r="Q27" s="36">
        <f t="shared" si="9"/>
        <v>8377.560000000001</v>
      </c>
    </row>
    <row r="28" spans="1:17" ht="15" customHeight="1">
      <c r="A28" s="21" t="s">
        <v>37</v>
      </c>
      <c r="B28" s="22" t="s">
        <v>13</v>
      </c>
      <c r="C28" s="23">
        <f t="shared" si="10"/>
        <v>4541200.01</v>
      </c>
      <c r="D28" s="23" t="s">
        <v>14</v>
      </c>
      <c r="E28" s="31">
        <f>IF(ABS(RIGHT(ROUND('[1]Aprovada'!C29*'[1]UFESP'!$D$11,2),2))&lt;50,ROUNDDOWN(ROUND('[1]Aprovada'!C29*'[1]UFESP'!$D$11,2),0),ROUNDUP(ROUND('[1]Aprovada'!C29*'[1]UFESP'!$D$11,2),0))</f>
        <v>5298067</v>
      </c>
      <c r="F28" s="23">
        <f t="shared" si="0"/>
        <v>5913.02</v>
      </c>
      <c r="G28" s="32">
        <f t="shared" si="1"/>
        <v>5913.02</v>
      </c>
      <c r="H28" s="32">
        <f t="shared" si="2"/>
        <v>1680.54</v>
      </c>
      <c r="I28" s="32">
        <f t="shared" si="3"/>
        <v>1244.85</v>
      </c>
      <c r="J28" s="32">
        <f t="shared" si="4"/>
        <v>311.21</v>
      </c>
      <c r="K28" s="32">
        <f t="shared" si="5"/>
        <v>311.21</v>
      </c>
      <c r="L28" s="33">
        <f>ROUND('[1]Aprovada'!I29*'[1]UFESP'!$D$11,2)</f>
        <v>9460.83</v>
      </c>
      <c r="M28" s="34">
        <f t="shared" si="11"/>
        <v>9460.83</v>
      </c>
      <c r="N28" s="34">
        <f t="shared" si="6"/>
        <v>9460.829999999998</v>
      </c>
      <c r="O28" s="34" t="str">
        <f t="shared" si="7"/>
        <v>OK!</v>
      </c>
      <c r="P28" s="35">
        <f t="shared" si="8"/>
        <v>59.13</v>
      </c>
      <c r="Q28" s="36">
        <f t="shared" si="9"/>
        <v>9519.96</v>
      </c>
    </row>
    <row r="29" spans="1:17" ht="15" customHeight="1">
      <c r="A29" s="21" t="s">
        <v>38</v>
      </c>
      <c r="B29" s="22" t="s">
        <v>13</v>
      </c>
      <c r="C29" s="23">
        <f t="shared" si="10"/>
        <v>5298067.01</v>
      </c>
      <c r="D29" s="23" t="s">
        <v>14</v>
      </c>
      <c r="E29" s="31">
        <f>IF(ABS(RIGHT(ROUND('[1]Aprovada'!C30*'[1]UFESP'!$D$11,2),2))&lt;50,ROUNDDOWN(ROUND('[1]Aprovada'!C30*'[1]UFESP'!$D$11,2),0),ROUNDUP(ROUND('[1]Aprovada'!C30*'[1]UFESP'!$D$11,2),0))</f>
        <v>6054934</v>
      </c>
      <c r="F29" s="23">
        <f t="shared" si="0"/>
        <v>6622.58</v>
      </c>
      <c r="G29" s="32">
        <f t="shared" si="1"/>
        <v>6622.5700000000015</v>
      </c>
      <c r="H29" s="32">
        <f t="shared" si="2"/>
        <v>1882.21</v>
      </c>
      <c r="I29" s="32">
        <f t="shared" si="3"/>
        <v>1394.23</v>
      </c>
      <c r="J29" s="32">
        <f t="shared" si="4"/>
        <v>348.56</v>
      </c>
      <c r="K29" s="32">
        <f t="shared" si="5"/>
        <v>348.56</v>
      </c>
      <c r="L29" s="33">
        <f>ROUND('[1]Aprovada'!I30*'[1]UFESP'!$D$11,2)+0.01</f>
        <v>10596.130000000001</v>
      </c>
      <c r="M29" s="34">
        <f t="shared" si="11"/>
        <v>10596.14</v>
      </c>
      <c r="N29" s="34">
        <f t="shared" si="6"/>
        <v>10596.130000000001</v>
      </c>
      <c r="O29" s="34" t="str">
        <f t="shared" si="7"/>
        <v>OK!</v>
      </c>
      <c r="P29" s="35">
        <f t="shared" si="8"/>
        <v>66.23</v>
      </c>
      <c r="Q29" s="36">
        <f t="shared" si="9"/>
        <v>10662.36</v>
      </c>
    </row>
    <row r="30" spans="1:17" ht="15" customHeight="1">
      <c r="A30" s="21" t="s">
        <v>39</v>
      </c>
      <c r="B30" s="22" t="s">
        <v>13</v>
      </c>
      <c r="C30" s="23">
        <f t="shared" si="10"/>
        <v>6054934.01</v>
      </c>
      <c r="D30" s="23" t="s">
        <v>14</v>
      </c>
      <c r="E30" s="31">
        <f>IF(ABS(RIGHT(ROUND('[1]Aprovada'!C31*'[1]UFESP'!$D$11,2),2))&lt;50,ROUNDDOWN(ROUND('[1]Aprovada'!C31*'[1]UFESP'!$D$11,2),0),ROUNDUP(ROUND('[1]Aprovada'!C31*'[1]UFESP'!$D$11,2),0))</f>
        <v>6811801</v>
      </c>
      <c r="F30" s="23">
        <f t="shared" si="0"/>
        <v>7332.14</v>
      </c>
      <c r="G30" s="32">
        <f t="shared" si="1"/>
        <v>7332.14</v>
      </c>
      <c r="H30" s="32">
        <f t="shared" si="2"/>
        <v>2083.87</v>
      </c>
      <c r="I30" s="32">
        <f t="shared" si="3"/>
        <v>1543.61</v>
      </c>
      <c r="J30" s="32">
        <f t="shared" si="4"/>
        <v>385.9</v>
      </c>
      <c r="K30" s="32">
        <f t="shared" si="5"/>
        <v>385.9</v>
      </c>
      <c r="L30" s="33">
        <f>ROUND('[1]Aprovada'!I31*'[1]UFESP'!$D$11,2)</f>
        <v>11731.42</v>
      </c>
      <c r="M30" s="34">
        <f t="shared" si="11"/>
        <v>11731.42</v>
      </c>
      <c r="N30" s="34">
        <f t="shared" si="6"/>
        <v>11731.42</v>
      </c>
      <c r="O30" s="34" t="str">
        <f t="shared" si="7"/>
        <v>OK!</v>
      </c>
      <c r="P30" s="35">
        <f t="shared" si="8"/>
        <v>73.32</v>
      </c>
      <c r="Q30" s="36">
        <f t="shared" si="9"/>
        <v>11804.74</v>
      </c>
    </row>
    <row r="31" spans="1:17" ht="15" customHeight="1">
      <c r="A31" s="21" t="s">
        <v>40</v>
      </c>
      <c r="B31" s="22" t="s">
        <v>13</v>
      </c>
      <c r="C31" s="23">
        <f t="shared" si="10"/>
        <v>6811801.01</v>
      </c>
      <c r="D31" s="23" t="s">
        <v>14</v>
      </c>
      <c r="E31" s="31">
        <f>IF(ABS(RIGHT(ROUND('[1]Aprovada'!C32*'[1]UFESP'!$D$11,2),2))&lt;50,ROUNDDOWN(ROUND('[1]Aprovada'!C32*'[1]UFESP'!$D$11,2),0),ROUNDUP(ROUND('[1]Aprovada'!C32*'[1]UFESP'!$D$11,2),0))</f>
        <v>7568667</v>
      </c>
      <c r="F31" s="23">
        <f t="shared" si="0"/>
        <v>8041.72</v>
      </c>
      <c r="G31" s="32">
        <f t="shared" si="1"/>
        <v>8041.72</v>
      </c>
      <c r="H31" s="32">
        <f t="shared" si="2"/>
        <v>2285.54</v>
      </c>
      <c r="I31" s="32">
        <f t="shared" si="3"/>
        <v>1692.99</v>
      </c>
      <c r="J31" s="32">
        <f t="shared" si="4"/>
        <v>423.25</v>
      </c>
      <c r="K31" s="32">
        <f t="shared" si="5"/>
        <v>423.25</v>
      </c>
      <c r="L31" s="33">
        <f>ROUND('[1]Aprovada'!I32*'[1]UFESP'!$D$11,2)</f>
        <v>12866.75</v>
      </c>
      <c r="M31" s="34">
        <f t="shared" si="11"/>
        <v>12866.75</v>
      </c>
      <c r="N31" s="34">
        <f t="shared" si="6"/>
        <v>12866.75</v>
      </c>
      <c r="O31" s="34" t="str">
        <f t="shared" si="7"/>
        <v>OK!</v>
      </c>
      <c r="P31" s="35">
        <f t="shared" si="8"/>
        <v>80.42</v>
      </c>
      <c r="Q31" s="36">
        <f t="shared" si="9"/>
        <v>12947.17</v>
      </c>
    </row>
    <row r="32" spans="1:17" ht="15" customHeight="1">
      <c r="A32" s="21" t="s">
        <v>41</v>
      </c>
      <c r="B32" s="22" t="s">
        <v>13</v>
      </c>
      <c r="C32" s="23">
        <f t="shared" si="10"/>
        <v>7568667.01</v>
      </c>
      <c r="D32" s="23" t="s">
        <v>14</v>
      </c>
      <c r="E32" s="31">
        <f>IF(ABS(RIGHT(ROUND('[1]Aprovada'!C33*'[1]UFESP'!$D$11,2),2))&lt;50,ROUNDDOWN(ROUND('[1]Aprovada'!C33*'[1]UFESP'!$D$11,2),0),ROUNDUP(ROUND('[1]Aprovada'!C33*'[1]UFESP'!$D$11,2),0))</f>
        <v>9082401</v>
      </c>
      <c r="F32" s="23">
        <f t="shared" si="0"/>
        <v>9460.84</v>
      </c>
      <c r="G32" s="32">
        <f t="shared" si="1"/>
        <v>9460.84</v>
      </c>
      <c r="H32" s="32">
        <f t="shared" si="2"/>
        <v>2688.87</v>
      </c>
      <c r="I32" s="32">
        <f t="shared" si="3"/>
        <v>1991.76</v>
      </c>
      <c r="J32" s="32">
        <f t="shared" si="4"/>
        <v>497.94</v>
      </c>
      <c r="K32" s="32">
        <f t="shared" si="5"/>
        <v>497.94</v>
      </c>
      <c r="L32" s="33">
        <f>ROUND('[1]Aprovada'!I33*'[1]UFESP'!$D$11,2)</f>
        <v>15137.35</v>
      </c>
      <c r="M32" s="34">
        <f t="shared" si="11"/>
        <v>15137.35</v>
      </c>
      <c r="N32" s="34">
        <f t="shared" si="6"/>
        <v>15137.35</v>
      </c>
      <c r="O32" s="34" t="str">
        <f t="shared" si="7"/>
        <v>OK!</v>
      </c>
      <c r="P32" s="35">
        <f t="shared" si="8"/>
        <v>94.61</v>
      </c>
      <c r="Q32" s="36">
        <f t="shared" si="9"/>
        <v>15231.960000000001</v>
      </c>
    </row>
    <row r="33" spans="1:17" ht="15" customHeight="1">
      <c r="A33" s="21" t="s">
        <v>42</v>
      </c>
      <c r="B33" s="22" t="s">
        <v>13</v>
      </c>
      <c r="C33" s="23">
        <f t="shared" si="10"/>
        <v>9082401.01</v>
      </c>
      <c r="D33" s="23" t="s">
        <v>14</v>
      </c>
      <c r="E33" s="31">
        <f>IF(ABS(RIGHT(ROUND('[1]Aprovada'!C34*'[1]UFESP'!$D$11,2),2))&lt;50,ROUNDDOWN(ROUND('[1]Aprovada'!C34*'[1]UFESP'!$D$11,2),0),ROUNDUP(ROUND('[1]Aprovada'!C34*'[1]UFESP'!$D$11,2),0))</f>
        <v>10596134</v>
      </c>
      <c r="F33" s="23">
        <f t="shared" si="0"/>
        <v>10879.96</v>
      </c>
      <c r="G33" s="32">
        <f t="shared" si="1"/>
        <v>10879.96</v>
      </c>
      <c r="H33" s="32">
        <f t="shared" si="2"/>
        <v>3092.2</v>
      </c>
      <c r="I33" s="32">
        <f t="shared" si="3"/>
        <v>2290.52</v>
      </c>
      <c r="J33" s="32">
        <f t="shared" si="4"/>
        <v>572.63</v>
      </c>
      <c r="K33" s="32">
        <f t="shared" si="5"/>
        <v>572.63</v>
      </c>
      <c r="L33" s="33">
        <f>ROUND('[1]Aprovada'!I34*'[1]UFESP'!$D$11,2)+0.01</f>
        <v>17407.94</v>
      </c>
      <c r="M33" s="34">
        <f t="shared" si="11"/>
        <v>17407.94</v>
      </c>
      <c r="N33" s="34">
        <f t="shared" si="6"/>
        <v>17407.940000000002</v>
      </c>
      <c r="O33" s="34" t="str">
        <f t="shared" si="7"/>
        <v>OK!</v>
      </c>
      <c r="P33" s="35">
        <f t="shared" si="8"/>
        <v>108.8</v>
      </c>
      <c r="Q33" s="36">
        <f t="shared" si="9"/>
        <v>17516.739999999998</v>
      </c>
    </row>
    <row r="34" spans="1:17" ht="15" customHeight="1">
      <c r="A34" s="21" t="s">
        <v>43</v>
      </c>
      <c r="B34" s="22" t="s">
        <v>13</v>
      </c>
      <c r="C34" s="23">
        <f t="shared" si="10"/>
        <v>10596134.01</v>
      </c>
      <c r="D34" s="23" t="s">
        <v>14</v>
      </c>
      <c r="E34" s="31">
        <f>IF(ABS(RIGHT(ROUND('[1]Aprovada'!C35*'[1]UFESP'!$D$11,2),2))&lt;50,ROUNDDOWN(ROUND('[1]Aprovada'!C35*'[1]UFESP'!$D$11,2),0),ROUNDUP(ROUND('[1]Aprovada'!C35*'[1]UFESP'!$D$11,2),0))</f>
        <v>12109868</v>
      </c>
      <c r="F34" s="23">
        <f t="shared" si="0"/>
        <v>12299.08</v>
      </c>
      <c r="G34" s="32">
        <f t="shared" si="1"/>
        <v>12299.08</v>
      </c>
      <c r="H34" s="32">
        <f t="shared" si="2"/>
        <v>3495.53</v>
      </c>
      <c r="I34" s="32">
        <f t="shared" si="3"/>
        <v>2589.28</v>
      </c>
      <c r="J34" s="32">
        <f t="shared" si="4"/>
        <v>647.32</v>
      </c>
      <c r="K34" s="32">
        <f t="shared" si="5"/>
        <v>647.32</v>
      </c>
      <c r="L34" s="33">
        <f>ROUND('[1]Aprovada'!I35*'[1]UFESP'!$D$11,2)-0.01</f>
        <v>19678.530000000002</v>
      </c>
      <c r="M34" s="34">
        <f t="shared" si="11"/>
        <v>19678.53</v>
      </c>
      <c r="N34" s="34">
        <f t="shared" si="6"/>
        <v>19678.53</v>
      </c>
      <c r="O34" s="34" t="str">
        <f t="shared" si="7"/>
        <v>OK!</v>
      </c>
      <c r="P34" s="35">
        <f t="shared" si="8"/>
        <v>122.99</v>
      </c>
      <c r="Q34" s="36">
        <f t="shared" si="9"/>
        <v>19801.520000000004</v>
      </c>
    </row>
    <row r="35" spans="1:17" ht="15" customHeight="1">
      <c r="A35" s="21" t="s">
        <v>44</v>
      </c>
      <c r="B35" s="22" t="s">
        <v>13</v>
      </c>
      <c r="C35" s="23">
        <f t="shared" si="10"/>
        <v>12109868.01</v>
      </c>
      <c r="D35" s="23" t="s">
        <v>14</v>
      </c>
      <c r="E35" s="31">
        <f>IF(ABS(RIGHT(ROUND('[1]Aprovada'!C36*'[1]UFESP'!$D$11,2),2))&lt;50,ROUNDDOWN(ROUND('[1]Aprovada'!C36*'[1]UFESP'!$D$11,2),0),ROUNDUP(ROUND('[1]Aprovada'!C36*'[1]UFESP'!$D$11,2),0))</f>
        <v>13623601</v>
      </c>
      <c r="F35" s="23">
        <f t="shared" si="0"/>
        <v>13718.2</v>
      </c>
      <c r="G35" s="32">
        <f t="shared" si="1"/>
        <v>13718.2</v>
      </c>
      <c r="H35" s="32">
        <f t="shared" si="2"/>
        <v>3898.86</v>
      </c>
      <c r="I35" s="32">
        <f t="shared" si="3"/>
        <v>2888.04</v>
      </c>
      <c r="J35" s="32">
        <f t="shared" si="4"/>
        <v>722.01</v>
      </c>
      <c r="K35" s="32">
        <f t="shared" si="5"/>
        <v>722.01</v>
      </c>
      <c r="L35" s="33">
        <f>ROUND('[1]Aprovada'!I36*'[1]UFESP'!$D$11,2)</f>
        <v>21949.12</v>
      </c>
      <c r="M35" s="34">
        <f t="shared" si="11"/>
        <v>21949.12</v>
      </c>
      <c r="N35" s="34">
        <f t="shared" si="6"/>
        <v>21949.12</v>
      </c>
      <c r="O35" s="34" t="str">
        <f t="shared" si="7"/>
        <v>OK!</v>
      </c>
      <c r="P35" s="35">
        <f t="shared" si="8"/>
        <v>137.18</v>
      </c>
      <c r="Q35" s="36">
        <f t="shared" si="9"/>
        <v>22086.3</v>
      </c>
    </row>
    <row r="36" spans="1:17" ht="15" customHeight="1" thickBot="1">
      <c r="A36" s="37" t="s">
        <v>45</v>
      </c>
      <c r="B36" s="38" t="s">
        <v>13</v>
      </c>
      <c r="C36" s="39">
        <f t="shared" si="10"/>
        <v>13623601.01</v>
      </c>
      <c r="D36" s="39" t="s">
        <v>14</v>
      </c>
      <c r="E36" s="31">
        <f>IF(ABS(RIGHT(ROUND('[1]Aprovada'!C37*'[1]UFESP'!$D$11,2),2))&lt;50,ROUNDDOWN(ROUND('[1]Aprovada'!C37*'[1]UFESP'!$D$11,2),0),ROUNDUP(ROUND('[1]Aprovada'!C37*'[1]UFESP'!$D$11,2),0))</f>
        <v>0</v>
      </c>
      <c r="F36" s="39">
        <f t="shared" si="0"/>
        <v>15137.34</v>
      </c>
      <c r="G36" s="40">
        <f t="shared" si="1"/>
        <v>15137.34</v>
      </c>
      <c r="H36" s="40">
        <f t="shared" si="2"/>
        <v>4302.19</v>
      </c>
      <c r="I36" s="40">
        <f t="shared" si="3"/>
        <v>3186.81</v>
      </c>
      <c r="J36" s="40">
        <f t="shared" si="4"/>
        <v>796.7</v>
      </c>
      <c r="K36" s="40">
        <f t="shared" si="5"/>
        <v>796.7</v>
      </c>
      <c r="L36" s="41">
        <f>ROUND('[1]Aprovada'!I37*'[1]UFESP'!$D$11,2)-0.01</f>
        <v>24219.74</v>
      </c>
      <c r="M36" s="42">
        <f t="shared" si="11"/>
        <v>24219.74</v>
      </c>
      <c r="N36" s="42">
        <f t="shared" si="6"/>
        <v>24219.74</v>
      </c>
      <c r="O36" s="42" t="str">
        <f t="shared" si="7"/>
        <v>OK!</v>
      </c>
      <c r="P36" s="43">
        <f t="shared" si="8"/>
        <v>151.37</v>
      </c>
      <c r="Q36" s="44">
        <f t="shared" si="9"/>
        <v>24371.11</v>
      </c>
    </row>
    <row r="37" spans="1:17" ht="15" customHeight="1" thickBot="1">
      <c r="A37" s="45" t="s">
        <v>46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</row>
    <row r="38" spans="1:17" ht="15" customHeight="1" thickBo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1:19" s="55" customFormat="1" ht="15" customHeight="1">
      <c r="A39" s="50" t="s">
        <v>47</v>
      </c>
      <c r="B39" s="51" t="s">
        <v>48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4"/>
      <c r="S39" s="2"/>
    </row>
    <row r="40" spans="1:19" s="55" customFormat="1" ht="15" customHeight="1" thickBot="1">
      <c r="A40" s="56" t="s">
        <v>49</v>
      </c>
      <c r="B40" s="57" t="s">
        <v>50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9"/>
      <c r="R40" s="54"/>
      <c r="S40" s="2"/>
    </row>
    <row r="41" spans="1:19" s="55" customFormat="1" ht="15" customHeight="1">
      <c r="A41" s="50" t="s">
        <v>51</v>
      </c>
      <c r="B41" s="60" t="s">
        <v>52</v>
      </c>
      <c r="C41" s="61"/>
      <c r="D41" s="61"/>
      <c r="E41" s="62"/>
      <c r="F41" s="63">
        <f>ROUND(L41*0.625,2)</f>
        <v>28.39</v>
      </c>
      <c r="G41" s="63">
        <f>IF(M41=L41,F41,F41-(M41-L41))</f>
        <v>28.39</v>
      </c>
      <c r="H41" s="63">
        <f>ROUND(L41*0.1776316,2)</f>
        <v>8.07</v>
      </c>
      <c r="I41" s="63">
        <f>ROUND(L41*0.13157894,2)</f>
        <v>5.98</v>
      </c>
      <c r="J41" s="63">
        <f>ROUND(L41*0.03289473,2)</f>
        <v>1.49</v>
      </c>
      <c r="K41" s="63">
        <f>ROUND(L41*0.03289473,2)</f>
        <v>1.49</v>
      </c>
      <c r="L41" s="64">
        <f>ROUND('[1]Aprovada'!I43*'[1]UFESP'!$D$11,2)-0.01</f>
        <v>45.42</v>
      </c>
      <c r="M41" s="65">
        <f>ROUND(F41+H41+I41+J41+K41,2)</f>
        <v>45.42</v>
      </c>
      <c r="N41" s="65">
        <f>G41+H41+I41+J41+K41</f>
        <v>45.42</v>
      </c>
      <c r="O41" s="65" t="str">
        <f>IF(N41=L41,"OK!",FALSE)</f>
        <v>OK!</v>
      </c>
      <c r="P41" s="29">
        <f>ROUND(G41*0.01,2)</f>
        <v>0.28</v>
      </c>
      <c r="Q41" s="30">
        <f>L41+P41</f>
        <v>45.7</v>
      </c>
      <c r="R41" s="54"/>
      <c r="S41" s="2"/>
    </row>
    <row r="42" spans="1:19" s="76" customFormat="1" ht="15" customHeight="1">
      <c r="A42" s="66" t="s">
        <v>53</v>
      </c>
      <c r="B42" s="67" t="s">
        <v>54</v>
      </c>
      <c r="C42" s="68"/>
      <c r="D42" s="68"/>
      <c r="E42" s="69"/>
      <c r="F42" s="70">
        <f>ROUND(L42*0.625,2)</f>
        <v>7.09</v>
      </c>
      <c r="G42" s="71">
        <f>IF(M42=L42,F42,F42-(M42-L42))</f>
        <v>7.09</v>
      </c>
      <c r="H42" s="70">
        <f>ROUND(L42*0.1776316,2)</f>
        <v>2.02</v>
      </c>
      <c r="I42" s="70">
        <f>ROUND(L42*0.13157894,2)+0.01</f>
        <v>1.5</v>
      </c>
      <c r="J42" s="70">
        <f>ROUND(L42*0.03289473,2)</f>
        <v>0.37</v>
      </c>
      <c r="K42" s="70">
        <f>ROUND(L42*0.03289473,2)</f>
        <v>0.37</v>
      </c>
      <c r="L42" s="72">
        <f>ROUND('[1]Aprovada'!I44*'[1]UFESP'!$D$11,2)</f>
        <v>11.35</v>
      </c>
      <c r="M42" s="73">
        <f>ROUND(F42+H42+I42+J42+K42,2)</f>
        <v>11.35</v>
      </c>
      <c r="N42" s="73">
        <f>G42+H42+I42+J42+K42</f>
        <v>11.349999999999998</v>
      </c>
      <c r="O42" s="73" t="str">
        <f>IF(N42=L42,"OK!",FALSE)</f>
        <v>OK!</v>
      </c>
      <c r="P42" s="74">
        <f>ROUND(G42*0.01,2)</f>
        <v>0.07</v>
      </c>
      <c r="Q42" s="36">
        <f>L42+P42</f>
        <v>11.42</v>
      </c>
      <c r="R42" s="75"/>
      <c r="S42" s="2"/>
    </row>
    <row r="43" spans="1:19" s="55" customFormat="1" ht="15" customHeight="1" thickBot="1">
      <c r="A43" s="77" t="s">
        <v>55</v>
      </c>
      <c r="B43" s="78" t="s">
        <v>56</v>
      </c>
      <c r="C43" s="79"/>
      <c r="D43" s="79"/>
      <c r="E43" s="80"/>
      <c r="F43" s="81">
        <f>ROUND(L43*0.625,2)</f>
        <v>14.19</v>
      </c>
      <c r="G43" s="82">
        <f>IF(M43=L43,F43,F43-(M43-L43))</f>
        <v>14.19</v>
      </c>
      <c r="H43" s="81">
        <f>ROUND(L43*0.1776316,2)</f>
        <v>4.03</v>
      </c>
      <c r="I43" s="81">
        <f>ROUND(L43*0.13157894,2)</f>
        <v>2.99</v>
      </c>
      <c r="J43" s="81">
        <f>ROUND(L43*0.03289473,2)</f>
        <v>0.75</v>
      </c>
      <c r="K43" s="81">
        <f>ROUND(L43*0.03289473,2)</f>
        <v>0.75</v>
      </c>
      <c r="L43" s="83">
        <f>ROUND('[1]Aprovada'!I45*'[1]UFESP'!$D$11,2)+0.02</f>
        <v>22.71</v>
      </c>
      <c r="M43" s="84">
        <f>ROUND(F43+H43+I43+J43+K43,2)</f>
        <v>22.71</v>
      </c>
      <c r="N43" s="84">
        <f>G43+H43+I43+J43+K43</f>
        <v>22.71</v>
      </c>
      <c r="O43" s="84" t="str">
        <f>IF(N43=L43,"OK!",FALSE)</f>
        <v>OK!</v>
      </c>
      <c r="P43" s="85">
        <f>ROUND(G43*0.01,2)</f>
        <v>0.14</v>
      </c>
      <c r="Q43" s="44">
        <f>L43+P43</f>
        <v>22.85</v>
      </c>
      <c r="R43" s="54"/>
      <c r="S43" s="2"/>
    </row>
    <row r="44" spans="1:19" s="55" customFormat="1" ht="15" customHeight="1" thickBot="1">
      <c r="A44" s="86" t="s">
        <v>57</v>
      </c>
      <c r="B44" s="87" t="s">
        <v>58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9"/>
      <c r="R44" s="54"/>
      <c r="S44" s="2"/>
    </row>
    <row r="45" spans="1:19" s="55" customFormat="1" ht="15" customHeight="1">
      <c r="A45" s="50" t="s">
        <v>59</v>
      </c>
      <c r="B45" s="60" t="s">
        <v>52</v>
      </c>
      <c r="C45" s="61"/>
      <c r="D45" s="61"/>
      <c r="E45" s="62"/>
      <c r="F45" s="63">
        <f>ROUND(L45*0.625,2)</f>
        <v>37.85</v>
      </c>
      <c r="G45" s="63">
        <f>IF(M45=L45,F45,F45-(M45-L45))</f>
        <v>37.85</v>
      </c>
      <c r="H45" s="63">
        <f>ROUND(L45*0.1776316,2)</f>
        <v>10.76</v>
      </c>
      <c r="I45" s="63">
        <f>ROUND(L45*0.13157894,2)</f>
        <v>7.97</v>
      </c>
      <c r="J45" s="63">
        <f>ROUND(L45*0.03289473,2)</f>
        <v>1.99</v>
      </c>
      <c r="K45" s="63">
        <f>ROUND(L45*0.03289473,2)</f>
        <v>1.99</v>
      </c>
      <c r="L45" s="64">
        <f>ROUND('[1]Aprovada'!I47*'[1]UFESP'!$D$11,2)</f>
        <v>60.56</v>
      </c>
      <c r="M45" s="90">
        <f>ROUND(F45+H45+I45+J45+K45,2)</f>
        <v>60.56</v>
      </c>
      <c r="N45" s="90">
        <f>G45+H45+I45+J45+K45</f>
        <v>60.56</v>
      </c>
      <c r="O45" s="90" t="str">
        <f>IF(N45=L45,"OK!",FALSE)</f>
        <v>OK!</v>
      </c>
      <c r="P45" s="29">
        <f>ROUND(G45*0.01,2)</f>
        <v>0.38</v>
      </c>
      <c r="Q45" s="30">
        <f>L45+P45</f>
        <v>60.940000000000005</v>
      </c>
      <c r="R45" s="54"/>
      <c r="S45" s="2"/>
    </row>
    <row r="46" spans="1:19" s="55" customFormat="1" ht="15" customHeight="1" thickBot="1">
      <c r="A46" s="77" t="s">
        <v>60</v>
      </c>
      <c r="B46" s="78" t="s">
        <v>54</v>
      </c>
      <c r="C46" s="79"/>
      <c r="D46" s="79"/>
      <c r="E46" s="80"/>
      <c r="F46" s="82">
        <f>ROUND(L46*0.625,2)</f>
        <v>9.47</v>
      </c>
      <c r="G46" s="82">
        <f>IF(M46=L46,F46,F46-(M46-L46))</f>
        <v>9.47</v>
      </c>
      <c r="H46" s="82">
        <f>ROUND(L46*0.1776316,2)</f>
        <v>2.69</v>
      </c>
      <c r="I46" s="82">
        <f>ROUND(L46*0.13157894,2)</f>
        <v>1.99</v>
      </c>
      <c r="J46" s="82">
        <f>ROUND(L46*0.03289473,2)</f>
        <v>0.5</v>
      </c>
      <c r="K46" s="82">
        <f>ROUND(L46*0.03289473,2)</f>
        <v>0.5</v>
      </c>
      <c r="L46" s="91">
        <f>ROUND('[1]Aprovada'!I48*'[1]UFESP'!$D$11,2)</f>
        <v>15.15</v>
      </c>
      <c r="M46" s="92">
        <f>ROUND(F46+H46+I46+J46+K46,2)</f>
        <v>15.15</v>
      </c>
      <c r="N46" s="92">
        <f>G46+H46+I46+J46+K46</f>
        <v>15.15</v>
      </c>
      <c r="O46" s="92" t="str">
        <f>IF(N46=L46,"OK!",FALSE)</f>
        <v>OK!</v>
      </c>
      <c r="P46" s="43">
        <f>ROUND(G46*0.01,2)</f>
        <v>0.09</v>
      </c>
      <c r="Q46" s="44">
        <f>L46+P46</f>
        <v>15.24</v>
      </c>
      <c r="R46" s="54"/>
      <c r="S46" s="2"/>
    </row>
    <row r="47" spans="1:19" s="55" customFormat="1" ht="15" customHeight="1" thickBot="1">
      <c r="A47" s="86" t="s">
        <v>61</v>
      </c>
      <c r="B47" s="87" t="s">
        <v>62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9"/>
      <c r="R47" s="54"/>
      <c r="S47" s="2"/>
    </row>
    <row r="48" spans="1:19" s="55" customFormat="1" ht="15" customHeight="1">
      <c r="A48" s="50" t="s">
        <v>63</v>
      </c>
      <c r="B48" s="60" t="s">
        <v>52</v>
      </c>
      <c r="C48" s="61"/>
      <c r="D48" s="61"/>
      <c r="E48" s="62"/>
      <c r="F48" s="63">
        <f>ROUND(L48*0.625,2)</f>
        <v>75.68</v>
      </c>
      <c r="G48" s="63">
        <f>IF(M48=L48,F48,F48-(M48-L48))</f>
        <v>75.68</v>
      </c>
      <c r="H48" s="63">
        <f>ROUND(L48*0.1776316,2)</f>
        <v>21.51</v>
      </c>
      <c r="I48" s="63">
        <f>ROUND(L48*0.13157894,2)</f>
        <v>15.93</v>
      </c>
      <c r="J48" s="63">
        <f>ROUND(L48*0.03289473,2)</f>
        <v>3.98</v>
      </c>
      <c r="K48" s="63">
        <f>ROUND(L48*0.03289473,2)</f>
        <v>3.98</v>
      </c>
      <c r="L48" s="64">
        <f>ROUND('[1]Aprovada'!I50*'[1]UFESP'!$D$11,2)-0.02</f>
        <v>121.08</v>
      </c>
      <c r="M48" s="65">
        <f>ROUND(F48+H48+I48+J48+K48,2)</f>
        <v>121.08</v>
      </c>
      <c r="N48" s="65">
        <f>G48+H48+I48+J48+K48</f>
        <v>121.08000000000001</v>
      </c>
      <c r="O48" s="65" t="str">
        <f>IF(N48=L48,"OK!",FALSE)</f>
        <v>OK!</v>
      </c>
      <c r="P48" s="29">
        <f>ROUND(G48*0.01,2)</f>
        <v>0.76</v>
      </c>
      <c r="Q48" s="30">
        <f>L48+P48</f>
        <v>121.84</v>
      </c>
      <c r="R48" s="54"/>
      <c r="S48" s="2"/>
    </row>
    <row r="49" spans="1:19" s="55" customFormat="1" ht="15" customHeight="1" thickBot="1">
      <c r="A49" s="77" t="s">
        <v>64</v>
      </c>
      <c r="B49" s="78" t="s">
        <v>54</v>
      </c>
      <c r="C49" s="79"/>
      <c r="D49" s="79"/>
      <c r="E49" s="80"/>
      <c r="F49" s="81">
        <f>ROUND(L49*0.625,2)</f>
        <v>18.92</v>
      </c>
      <c r="G49" s="82">
        <f>IF(M49=L49,F49,F49-(M49-L49))</f>
        <v>18.91</v>
      </c>
      <c r="H49" s="81">
        <f>ROUND(L49*0.1776316,2)</f>
        <v>5.38</v>
      </c>
      <c r="I49" s="81">
        <f>ROUND(L49*0.13157894,2)</f>
        <v>3.98</v>
      </c>
      <c r="J49" s="81">
        <f>ROUND(L49*0.03289473,2)</f>
        <v>1</v>
      </c>
      <c r="K49" s="81">
        <f>ROUND(L49*0.03289473,2)</f>
        <v>1</v>
      </c>
      <c r="L49" s="83">
        <f>ROUND('[1]Aprovada'!I51*'[1]UFESP'!$D$11,2)</f>
        <v>30.27</v>
      </c>
      <c r="M49" s="84">
        <f>ROUND(F49+H49+I49+J49+K49,2)</f>
        <v>30.28</v>
      </c>
      <c r="N49" s="84">
        <f>G49+H49+I49+J49+K49</f>
        <v>30.27</v>
      </c>
      <c r="O49" s="84" t="str">
        <f>IF(N49=L49,"OK!",FALSE)</f>
        <v>OK!</v>
      </c>
      <c r="P49" s="85">
        <f>ROUND(G49*0.01,2)</f>
        <v>0.19</v>
      </c>
      <c r="Q49" s="44">
        <f>L49+P49</f>
        <v>30.46</v>
      </c>
      <c r="R49" s="54"/>
      <c r="S49" s="2"/>
    </row>
    <row r="50" spans="1:19" s="55" customFormat="1" ht="15" customHeight="1" thickBot="1">
      <c r="A50" s="93" t="s">
        <v>65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5"/>
      <c r="M50" s="96"/>
      <c r="N50" s="96"/>
      <c r="O50" s="96"/>
      <c r="P50" s="96"/>
      <c r="Q50" s="97"/>
      <c r="R50" s="54"/>
      <c r="S50" s="2"/>
    </row>
    <row r="51" spans="1:19" s="55" customFormat="1" ht="13.5" customHeight="1" thickBot="1">
      <c r="A51" s="98"/>
      <c r="B51" s="99"/>
      <c r="C51" s="99"/>
      <c r="D51" s="99"/>
      <c r="E51" s="99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34"/>
      <c r="Q51" s="101"/>
      <c r="R51" s="54"/>
      <c r="S51" s="2"/>
    </row>
    <row r="52" spans="1:19" s="55" customFormat="1" ht="28.5" customHeight="1" thickBot="1">
      <c r="A52" s="102" t="s">
        <v>66</v>
      </c>
      <c r="B52" s="103" t="s">
        <v>67</v>
      </c>
      <c r="C52" s="104"/>
      <c r="D52" s="104"/>
      <c r="E52" s="105"/>
      <c r="F52" s="106"/>
      <c r="G52" s="106">
        <f>ROUND('[1]Notas 2007'!G54*'[1]UFESP'!$E$11,2)+0.02</f>
        <v>1.15</v>
      </c>
      <c r="H52" s="106">
        <f>ROUND('[1]Notas 2007'!H54*'[1]UFESP'!$E$11,2)</f>
        <v>0.33</v>
      </c>
      <c r="I52" s="106">
        <f>ROUND('[1]Notas 2007'!I54*'[1]UFESP'!$E$11,2)+0.01</f>
        <v>0.24000000000000002</v>
      </c>
      <c r="J52" s="106">
        <f>ROUND('[1]Notas 2007'!J54*'[1]UFESP'!$E$11,2)</f>
        <v>0.06</v>
      </c>
      <c r="K52" s="106">
        <f>ROUND('[1]Notas 2007'!K54*'[1]UFESP'!$E$11,2)</f>
        <v>0.06</v>
      </c>
      <c r="L52" s="107">
        <f>G52+H52+I52+J52+K52</f>
        <v>1.84</v>
      </c>
      <c r="M52" s="106"/>
      <c r="N52" s="106">
        <f>G52+H52+I52+J52+K52</f>
        <v>1.84</v>
      </c>
      <c r="O52" s="106"/>
      <c r="P52" s="108">
        <f>ROUND(G52*0.01,2)</f>
        <v>0.01</v>
      </c>
      <c r="Q52" s="109">
        <f>G52+H52+I52+J52+K52+P52</f>
        <v>1.85</v>
      </c>
      <c r="R52" s="54"/>
      <c r="S52" s="2"/>
    </row>
    <row r="53" spans="1:19" s="55" customFormat="1" ht="12" customHeight="1" thickBot="1">
      <c r="A53" s="98"/>
      <c r="B53" s="99"/>
      <c r="C53" s="99"/>
      <c r="D53" s="99"/>
      <c r="E53" s="99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34"/>
      <c r="Q53" s="101"/>
      <c r="R53" s="54"/>
      <c r="S53" s="2"/>
    </row>
    <row r="54" spans="1:19" s="55" customFormat="1" ht="15" customHeight="1">
      <c r="A54" s="50" t="s">
        <v>68</v>
      </c>
      <c r="B54" s="51" t="s">
        <v>69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1"/>
      <c r="R54" s="54"/>
      <c r="S54" s="2"/>
    </row>
    <row r="55" spans="1:19" s="55" customFormat="1" ht="15" customHeight="1" thickBot="1">
      <c r="A55" s="56" t="s">
        <v>70</v>
      </c>
      <c r="B55" s="57" t="s">
        <v>71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3"/>
      <c r="R55" s="54"/>
      <c r="S55" s="2"/>
    </row>
    <row r="56" spans="1:19" s="55" customFormat="1" ht="15" customHeight="1">
      <c r="A56" s="50" t="s">
        <v>72</v>
      </c>
      <c r="B56" s="114" t="s">
        <v>73</v>
      </c>
      <c r="C56" s="115"/>
      <c r="D56" s="115"/>
      <c r="E56" s="115"/>
      <c r="F56" s="63"/>
      <c r="G56" s="63">
        <f>ROUND('[1]Notas 2007'!G58*'[1]UFESP'!$E$11,2)-0.02</f>
        <v>1.71</v>
      </c>
      <c r="H56" s="63">
        <f>ROUND('[1]Notas 2007'!H58*'[1]UFESP'!$E$11,2)-0.01</f>
        <v>0.48</v>
      </c>
      <c r="I56" s="63">
        <f>ROUND('[1]Notas 2007'!I58*'[1]UFESP'!$E$11,2)-0.01</f>
        <v>0.36</v>
      </c>
      <c r="J56" s="63">
        <f>ROUND('[1]Notas 2007'!J58*'[1]UFESP'!$E$11,2)+0.01</f>
        <v>0.09</v>
      </c>
      <c r="K56" s="63">
        <f>ROUND('[1]Notas 2007'!K58*'[1]UFESP'!$E$11,2)+0.01</f>
        <v>0.09</v>
      </c>
      <c r="L56" s="64">
        <f>G56+H56+I56+J56+K56</f>
        <v>2.7299999999999995</v>
      </c>
      <c r="M56" s="63"/>
      <c r="N56" s="63">
        <f>G56+H56+I56+J56+K56</f>
        <v>2.7299999999999995</v>
      </c>
      <c r="O56" s="63"/>
      <c r="P56" s="29">
        <f>ROUND(G56*0.01,2)</f>
        <v>0.02</v>
      </c>
      <c r="Q56" s="30">
        <f>G56+H56+I56+J56+K56+P56</f>
        <v>2.7499999999999996</v>
      </c>
      <c r="R56" s="54"/>
      <c r="S56" s="2"/>
    </row>
    <row r="57" spans="1:19" s="55" customFormat="1" ht="15" customHeight="1" thickBot="1">
      <c r="A57" s="77" t="s">
        <v>74</v>
      </c>
      <c r="B57" s="116" t="s">
        <v>75</v>
      </c>
      <c r="C57" s="117"/>
      <c r="D57" s="117"/>
      <c r="E57" s="117"/>
      <c r="F57" s="82"/>
      <c r="G57" s="82">
        <f>ROUND('[1]Notas 2007'!G59*'[1]UFESP'!$E$11,2)-0.01</f>
        <v>2.79</v>
      </c>
      <c r="H57" s="82">
        <f>ROUND('[1]Notas 2007'!H59*'[1]UFESP'!$E$11,2)-0.02</f>
        <v>0.79</v>
      </c>
      <c r="I57" s="82">
        <f>ROUND('[1]Notas 2007'!I59*'[1]UFESP'!$E$11,2)</f>
        <v>0.59</v>
      </c>
      <c r="J57" s="82">
        <f>ROUND('[1]Notas 2007'!J59*'[1]UFESP'!$E$11,2)+0.01</f>
        <v>0.15000000000000002</v>
      </c>
      <c r="K57" s="82">
        <f>ROUND('[1]Notas 2007'!K59*'[1]UFESP'!$E$11,2)+0.01</f>
        <v>0.15000000000000002</v>
      </c>
      <c r="L57" s="91">
        <f>G57+H57+I57+J57+K57</f>
        <v>4.470000000000001</v>
      </c>
      <c r="M57" s="82"/>
      <c r="N57" s="82">
        <f>G57+H57+I57+J57+K57</f>
        <v>4.470000000000001</v>
      </c>
      <c r="O57" s="82"/>
      <c r="P57" s="43">
        <f>ROUND(G57*0.01,2)</f>
        <v>0.03</v>
      </c>
      <c r="Q57" s="44">
        <f>G57+H57+I57+J57+K57+P57</f>
        <v>4.500000000000001</v>
      </c>
      <c r="R57" s="54"/>
      <c r="S57" s="2"/>
    </row>
    <row r="58" spans="1:19" s="55" customFormat="1" ht="15" customHeight="1" thickBot="1">
      <c r="A58" s="86" t="s">
        <v>76</v>
      </c>
      <c r="B58" s="87" t="s">
        <v>77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9"/>
      <c r="R58" s="54"/>
      <c r="S58" s="2"/>
    </row>
    <row r="59" spans="1:19" s="55" customFormat="1" ht="15" customHeight="1" thickBot="1">
      <c r="A59" s="102" t="s">
        <v>78</v>
      </c>
      <c r="B59" s="118" t="s">
        <v>79</v>
      </c>
      <c r="C59" s="119"/>
      <c r="D59" s="119"/>
      <c r="E59" s="120"/>
      <c r="F59" s="106"/>
      <c r="G59" s="106">
        <f>ROUND('[1]Notas 2007'!G61*'[1]UFESP'!$E$11,2)-0.01</f>
        <v>4.44</v>
      </c>
      <c r="H59" s="106">
        <f>ROUND('[1]Notas 2007'!H61*'[1]UFESP'!$E$11,2)</f>
        <v>1.27</v>
      </c>
      <c r="I59" s="106">
        <f>ROUND('[1]Notas 2007'!I61*'[1]UFESP'!$E$11,2)</f>
        <v>0.94</v>
      </c>
      <c r="J59" s="106">
        <f>ROUND('[1]Notas 2007'!J61*'[1]UFESP'!$E$11,2)</f>
        <v>0.23</v>
      </c>
      <c r="K59" s="106">
        <f>ROUND('[1]Notas 2007'!K61*'[1]UFESP'!$E$11,2)</f>
        <v>0.23</v>
      </c>
      <c r="L59" s="107">
        <f>G59+H59+I59+J59+K59</f>
        <v>7.110000000000001</v>
      </c>
      <c r="M59" s="121"/>
      <c r="N59" s="121">
        <f>G59+H59+I59+J59+K59</f>
        <v>7.110000000000001</v>
      </c>
      <c r="O59" s="121"/>
      <c r="P59" s="108">
        <f>ROUND(G59*0.01,2)</f>
        <v>0.04</v>
      </c>
      <c r="Q59" s="109">
        <f>G59+H59+I59+J59+K59+P59</f>
        <v>7.150000000000001</v>
      </c>
      <c r="R59" s="54"/>
      <c r="S59" s="2"/>
    </row>
    <row r="60" spans="1:19" s="55" customFormat="1" ht="13.5" customHeight="1" thickBot="1">
      <c r="A60" s="98"/>
      <c r="B60" s="99"/>
      <c r="C60" s="99"/>
      <c r="D60" s="99"/>
      <c r="E60" s="99"/>
      <c r="F60" s="122"/>
      <c r="G60" s="122"/>
      <c r="H60" s="122"/>
      <c r="I60" s="122"/>
      <c r="J60" s="122"/>
      <c r="K60" s="122"/>
      <c r="L60" s="123"/>
      <c r="M60" s="100"/>
      <c r="N60" s="100"/>
      <c r="O60" s="100"/>
      <c r="P60" s="34"/>
      <c r="Q60" s="101"/>
      <c r="R60" s="54"/>
      <c r="S60" s="2"/>
    </row>
    <row r="61" spans="1:19" s="55" customFormat="1" ht="15" customHeight="1" thickBot="1">
      <c r="A61" s="102" t="s">
        <v>80</v>
      </c>
      <c r="B61" s="103" t="s">
        <v>81</v>
      </c>
      <c r="C61" s="104"/>
      <c r="D61" s="104"/>
      <c r="E61" s="105"/>
      <c r="F61" s="106">
        <f>ROUND(L61*0.625,2)</f>
        <v>21.58</v>
      </c>
      <c r="G61" s="106">
        <f>IF(M61=L61,F61,F61-(M61-L61))</f>
        <v>21.58</v>
      </c>
      <c r="H61" s="106">
        <f>ROUND(L61*0.1776316,2)</f>
        <v>6.13</v>
      </c>
      <c r="I61" s="106">
        <f>ROUND(L61*0.13157894,2)</f>
        <v>4.54</v>
      </c>
      <c r="J61" s="106">
        <f>ROUND(L61*0.03289473,2)</f>
        <v>1.14</v>
      </c>
      <c r="K61" s="106">
        <f>ROUND(L61*0.03289473,2)</f>
        <v>1.14</v>
      </c>
      <c r="L61" s="107">
        <f>ROUND('[1]Aprovada'!I64*'[1]UFESP'!$D$11,2)+0.02</f>
        <v>34.53</v>
      </c>
      <c r="M61" s="121">
        <f>ROUND(F61+H61+I61+J61+K61,2)</f>
        <v>34.53</v>
      </c>
      <c r="N61" s="121">
        <f>G61+H61+I61+J61+K61</f>
        <v>34.53</v>
      </c>
      <c r="O61" s="121" t="str">
        <f>IF(N61=L61,"OK!",FALSE)</f>
        <v>OK!</v>
      </c>
      <c r="P61" s="108">
        <f>ROUND(G61*0.01,2)</f>
        <v>0.22</v>
      </c>
      <c r="Q61" s="109">
        <f>L61+P61</f>
        <v>34.75</v>
      </c>
      <c r="R61" s="54"/>
      <c r="S61" s="2"/>
    </row>
    <row r="62" spans="1:19" s="55" customFormat="1" ht="15.75" customHeight="1" thickBot="1">
      <c r="A62" s="98"/>
      <c r="B62" s="99"/>
      <c r="C62" s="99"/>
      <c r="D62" s="99"/>
      <c r="E62" s="99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34"/>
      <c r="Q62" s="101"/>
      <c r="R62" s="54"/>
      <c r="S62" s="2"/>
    </row>
    <row r="63" spans="1:19" s="55" customFormat="1" ht="15" customHeight="1" thickBot="1">
      <c r="A63" s="124" t="s">
        <v>82</v>
      </c>
      <c r="B63" s="125" t="s">
        <v>83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7"/>
      <c r="R63" s="54"/>
      <c r="S63" s="2"/>
    </row>
    <row r="64" spans="1:19" s="55" customFormat="1" ht="27.75" customHeight="1">
      <c r="A64" s="50" t="s">
        <v>84</v>
      </c>
      <c r="B64" s="60" t="s">
        <v>85</v>
      </c>
      <c r="C64" s="61"/>
      <c r="D64" s="61"/>
      <c r="E64" s="62"/>
      <c r="F64" s="63">
        <f>ROUND(L64*0.625,2)</f>
        <v>27.44</v>
      </c>
      <c r="G64" s="63">
        <f>IF(M64=L64,F64,F64-(M64-L64))</f>
        <v>27.44</v>
      </c>
      <c r="H64" s="63">
        <f>ROUND(L64*0.1776316,2)</f>
        <v>7.8</v>
      </c>
      <c r="I64" s="63">
        <f>ROUND(L64*0.13157894,2)</f>
        <v>5.78</v>
      </c>
      <c r="J64" s="63">
        <f>ROUND(L64*0.03289473,2)</f>
        <v>1.44</v>
      </c>
      <c r="K64" s="63">
        <f>ROUND(L64*0.03289473,2)</f>
        <v>1.44</v>
      </c>
      <c r="L64" s="64">
        <f>ROUND('[1]Aprovada'!I67*'[1]UFESP'!$D$11,2)</f>
        <v>43.9</v>
      </c>
      <c r="M64" s="65">
        <f>ROUND(F64+H64+I64+J64+K64,2)</f>
        <v>43.9</v>
      </c>
      <c r="N64" s="65">
        <f>G64+H64+I64+J64+K64</f>
        <v>43.9</v>
      </c>
      <c r="O64" s="65" t="str">
        <f>IF(N64=L64,"OK!",FALSE)</f>
        <v>OK!</v>
      </c>
      <c r="P64" s="29">
        <f>ROUND(G64*0.01,2)</f>
        <v>0.27</v>
      </c>
      <c r="Q64" s="30">
        <f>L64+P64</f>
        <v>44.17</v>
      </c>
      <c r="R64" s="54"/>
      <c r="S64" s="2"/>
    </row>
    <row r="65" spans="1:19" s="55" customFormat="1" ht="24.75" customHeight="1" thickBot="1">
      <c r="A65" s="77" t="s">
        <v>86</v>
      </c>
      <c r="B65" s="78" t="s">
        <v>87</v>
      </c>
      <c r="C65" s="79"/>
      <c r="D65" s="79"/>
      <c r="E65" s="80"/>
      <c r="F65" s="82">
        <f>ROUND(L65*0.625,2)</f>
        <v>141.9</v>
      </c>
      <c r="G65" s="82">
        <f>IF(M65=L65,F65,F65-(M65-L65))</f>
        <v>141.9</v>
      </c>
      <c r="H65" s="82">
        <f>ROUND(L65*0.1776316,2)</f>
        <v>40.33</v>
      </c>
      <c r="I65" s="82">
        <f>ROUND(L65*0.13157894,2)</f>
        <v>29.87</v>
      </c>
      <c r="J65" s="82">
        <f>ROUND(L65*0.03289473,2)</f>
        <v>7.47</v>
      </c>
      <c r="K65" s="82">
        <f>ROUND(L65*0.03289473,2)</f>
        <v>7.47</v>
      </c>
      <c r="L65" s="91">
        <f>ROUND('[1]Aprovada'!I68*'[1]UFESP'!$D$11,2)</f>
        <v>227.04</v>
      </c>
      <c r="M65" s="84">
        <f>ROUND(F65+H65+I65+J65+K65,2)</f>
        <v>227.04</v>
      </c>
      <c r="N65" s="84">
        <f>G65+H65+I65+J65+K65</f>
        <v>227.04000000000002</v>
      </c>
      <c r="O65" s="84" t="str">
        <f>IF(N65=L65,"OK!",FALSE)</f>
        <v>OK!</v>
      </c>
      <c r="P65" s="43">
        <f>ROUND(G65*0.01,2)</f>
        <v>1.42</v>
      </c>
      <c r="Q65" s="44">
        <f>L65+P65</f>
        <v>228.45999999999998</v>
      </c>
      <c r="R65" s="54"/>
      <c r="S65" s="2"/>
    </row>
    <row r="66" spans="1:19" s="55" customFormat="1" ht="14.25" customHeight="1" thickBot="1">
      <c r="A66" s="128"/>
      <c r="B66" s="129"/>
      <c r="C66" s="130"/>
      <c r="D66" s="130"/>
      <c r="E66" s="130"/>
      <c r="F66" s="131"/>
      <c r="G66" s="131"/>
      <c r="H66" s="131"/>
      <c r="I66" s="131"/>
      <c r="J66" s="131"/>
      <c r="K66" s="131"/>
      <c r="L66" s="132"/>
      <c r="M66" s="131"/>
      <c r="N66" s="131"/>
      <c r="O66" s="131"/>
      <c r="P66" s="34"/>
      <c r="Q66" s="101"/>
      <c r="R66" s="54"/>
      <c r="S66" s="2"/>
    </row>
    <row r="67" spans="1:19" s="55" customFormat="1" ht="15" customHeight="1" thickBot="1">
      <c r="A67" s="102" t="s">
        <v>88</v>
      </c>
      <c r="B67" s="133" t="s">
        <v>89</v>
      </c>
      <c r="C67" s="134"/>
      <c r="D67" s="134"/>
      <c r="E67" s="134"/>
      <c r="F67" s="106">
        <f>ROUND(L67*0.625,2)</f>
        <v>412.49</v>
      </c>
      <c r="G67" s="106">
        <f>IF(M67=L67,F67,F67-(M67-L67))</f>
        <v>412.49</v>
      </c>
      <c r="H67" s="106">
        <f>ROUND(L67*0.1776316,2)</f>
        <v>117.23</v>
      </c>
      <c r="I67" s="106">
        <f>ROUND(L67*0.13157894,2)</f>
        <v>86.84</v>
      </c>
      <c r="J67" s="106">
        <f>ROUND(L67*0.03289473,2)</f>
        <v>21.71</v>
      </c>
      <c r="K67" s="106">
        <f>ROUND(L67*0.03289473,2)</f>
        <v>21.71</v>
      </c>
      <c r="L67" s="107">
        <f>ROUND('[1]Aprovada'!I70*'[1]UFESP'!$D$11,2)-0.01</f>
        <v>659.98</v>
      </c>
      <c r="M67" s="121">
        <f>ROUND(F67+H67+I67+J67+K67,2)</f>
        <v>659.98</v>
      </c>
      <c r="N67" s="121">
        <f>G67+H67+I67+J67+K67</f>
        <v>659.9800000000001</v>
      </c>
      <c r="O67" s="121" t="str">
        <f>IF(N67=L67,"OK!",FALSE)</f>
        <v>OK!</v>
      </c>
      <c r="P67" s="108">
        <f>ROUND(G67*0.01,2)</f>
        <v>4.12</v>
      </c>
      <c r="Q67" s="109">
        <f>L67+P67</f>
        <v>664.1</v>
      </c>
      <c r="R67" s="54"/>
      <c r="S67" s="2"/>
    </row>
    <row r="68" spans="1:19" s="55" customFormat="1" ht="14.25" customHeight="1" thickBot="1">
      <c r="A68" s="98"/>
      <c r="B68" s="99"/>
      <c r="C68" s="99"/>
      <c r="D68" s="99"/>
      <c r="E68" s="99"/>
      <c r="F68" s="100"/>
      <c r="G68" s="100"/>
      <c r="H68" s="100"/>
      <c r="I68" s="100"/>
      <c r="J68" s="100"/>
      <c r="K68" s="100"/>
      <c r="L68" s="135"/>
      <c r="M68" s="100"/>
      <c r="N68" s="100"/>
      <c r="O68" s="100"/>
      <c r="P68" s="34"/>
      <c r="Q68" s="101"/>
      <c r="R68" s="54"/>
      <c r="S68" s="2"/>
    </row>
    <row r="69" spans="1:19" s="55" customFormat="1" ht="15" customHeight="1" thickBot="1">
      <c r="A69" s="124" t="s">
        <v>90</v>
      </c>
      <c r="B69" s="136" t="s">
        <v>91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8"/>
      <c r="R69" s="54"/>
      <c r="S69" s="2"/>
    </row>
    <row r="70" spans="1:19" s="55" customFormat="1" ht="27.75" customHeight="1">
      <c r="A70" s="50" t="s">
        <v>92</v>
      </c>
      <c r="B70" s="114" t="s">
        <v>93</v>
      </c>
      <c r="C70" s="115"/>
      <c r="D70" s="115"/>
      <c r="E70" s="115"/>
      <c r="F70" s="63">
        <f>ROUND(L70*0.625,2)</f>
        <v>31.22</v>
      </c>
      <c r="G70" s="63">
        <f>IF(M70=L70,F70,F70-(M70-L70))</f>
        <v>31.230000000000004</v>
      </c>
      <c r="H70" s="63">
        <f>ROUND(L70*0.1776316,2)</f>
        <v>8.87</v>
      </c>
      <c r="I70" s="63">
        <f>ROUND(L70*0.13157894,2)</f>
        <v>6.57</v>
      </c>
      <c r="J70" s="63">
        <f>ROUND(L70*0.03289473,2)</f>
        <v>1.64</v>
      </c>
      <c r="K70" s="63">
        <f>ROUND(L70*0.03289473,2)</f>
        <v>1.64</v>
      </c>
      <c r="L70" s="64">
        <f>ROUND('[1]Aprovada'!I73*'[1]UFESP'!$D$11,2)</f>
        <v>49.95</v>
      </c>
      <c r="M70" s="65">
        <f>ROUND(F70+H70+I70+J70+K70,2)</f>
        <v>49.94</v>
      </c>
      <c r="N70" s="65">
        <f>G70+H70+I70+J70+K70</f>
        <v>49.95</v>
      </c>
      <c r="O70" s="65" t="str">
        <f>IF(N70=L70,"OK!",FALSE)</f>
        <v>OK!</v>
      </c>
      <c r="P70" s="29">
        <f>ROUND(G70*0.01,2)</f>
        <v>0.31</v>
      </c>
      <c r="Q70" s="30">
        <f>L70+P70</f>
        <v>50.260000000000005</v>
      </c>
      <c r="R70" s="54"/>
      <c r="S70" s="2"/>
    </row>
    <row r="71" spans="1:19" s="55" customFormat="1" ht="15" customHeight="1">
      <c r="A71" s="139" t="s">
        <v>94</v>
      </c>
      <c r="B71" s="140" t="s">
        <v>95</v>
      </c>
      <c r="C71" s="141"/>
      <c r="D71" s="141"/>
      <c r="E71" s="141"/>
      <c r="F71" s="142">
        <f>ROUND(L71*0.625,2)</f>
        <v>567.66</v>
      </c>
      <c r="G71" s="142">
        <f>IF(M71=L71,F71,F71-(M71-L71))</f>
        <v>567.66</v>
      </c>
      <c r="H71" s="142">
        <f>ROUND(L71*0.1776316,2)-0.01</f>
        <v>161.33</v>
      </c>
      <c r="I71" s="142">
        <f>ROUND(L71*0.13157894,2)</f>
        <v>119.51</v>
      </c>
      <c r="J71" s="142">
        <f>ROUND(L71*0.03289473,2)</f>
        <v>29.88</v>
      </c>
      <c r="K71" s="142">
        <f>ROUND(L71*0.03289473,2)</f>
        <v>29.88</v>
      </c>
      <c r="L71" s="72">
        <f>ROUND('[1]Aprovada'!I74*'[1]UFESP'!$D$11,2)</f>
        <v>908.26</v>
      </c>
      <c r="M71" s="131">
        <f>ROUND(F71+H71+I71+J71+K71,2)</f>
        <v>908.26</v>
      </c>
      <c r="N71" s="131">
        <f>G71+H71+I71+J71+K71</f>
        <v>908.26</v>
      </c>
      <c r="O71" s="131" t="str">
        <f>IF(N71=L71,"OK!",FALSE)</f>
        <v>OK!</v>
      </c>
      <c r="P71" s="35">
        <f>ROUND(G71*0.01,2)</f>
        <v>5.68</v>
      </c>
      <c r="Q71" s="36">
        <f>L71+P71</f>
        <v>913.9399999999999</v>
      </c>
      <c r="R71" s="54"/>
      <c r="S71" s="2"/>
    </row>
    <row r="72" spans="1:19" s="55" customFormat="1" ht="15" customHeight="1">
      <c r="A72" s="139" t="s">
        <v>96</v>
      </c>
      <c r="B72" s="140" t="s">
        <v>97</v>
      </c>
      <c r="C72" s="141"/>
      <c r="D72" s="141"/>
      <c r="E72" s="141"/>
      <c r="F72" s="142">
        <f>ROUND(L72*0.625,2)</f>
        <v>567.66</v>
      </c>
      <c r="G72" s="142">
        <f>IF(M72=L72,F72,F72-(M72-L72))</f>
        <v>567.66</v>
      </c>
      <c r="H72" s="142">
        <f>ROUND(L72*0.1776316,2)-0.01</f>
        <v>161.33</v>
      </c>
      <c r="I72" s="142">
        <f>ROUND(L72*0.13157894,2)</f>
        <v>119.51</v>
      </c>
      <c r="J72" s="142">
        <f>ROUND(L72*0.03289473,2)</f>
        <v>29.88</v>
      </c>
      <c r="K72" s="142">
        <f>ROUND(L72*0.03289473,2)</f>
        <v>29.88</v>
      </c>
      <c r="L72" s="72">
        <f>ROUND('[1]Aprovada'!I75*'[1]UFESP'!$D$11,2)</f>
        <v>908.26</v>
      </c>
      <c r="M72" s="131">
        <f>ROUND(F72+H72+I72+J72+K72,2)</f>
        <v>908.26</v>
      </c>
      <c r="N72" s="131">
        <f>G72+H72+I72+J72+K72</f>
        <v>908.26</v>
      </c>
      <c r="O72" s="131" t="str">
        <f>IF(N72=L72,"OK!",FALSE)</f>
        <v>OK!</v>
      </c>
      <c r="P72" s="35">
        <f>ROUND(G72*0.01,2)</f>
        <v>5.68</v>
      </c>
      <c r="Q72" s="36">
        <f>L72+P72</f>
        <v>913.9399999999999</v>
      </c>
      <c r="R72" s="54"/>
      <c r="S72" s="2"/>
    </row>
    <row r="73" spans="1:19" s="55" customFormat="1" ht="15" customHeight="1" thickBot="1">
      <c r="A73" s="77" t="s">
        <v>98</v>
      </c>
      <c r="B73" s="116" t="s">
        <v>99</v>
      </c>
      <c r="C73" s="117"/>
      <c r="D73" s="117"/>
      <c r="E73" s="117"/>
      <c r="F73" s="82">
        <f>ROUND(L73*0.625,2)</f>
        <v>94.61</v>
      </c>
      <c r="G73" s="82">
        <f>IF(M73=L73,F73,F73-(M73-L73))</f>
        <v>94.61</v>
      </c>
      <c r="H73" s="82">
        <f>ROUND(L73*0.1776316,2)</f>
        <v>26.89</v>
      </c>
      <c r="I73" s="82">
        <f>ROUND(L73*0.13157894,2)</f>
        <v>19.92</v>
      </c>
      <c r="J73" s="82">
        <f>ROUND(L73*0.03289473,2)</f>
        <v>4.98</v>
      </c>
      <c r="K73" s="82">
        <f>ROUND(L73*0.03289473,2)</f>
        <v>4.98</v>
      </c>
      <c r="L73" s="83">
        <f>ROUND('[1]Aprovada'!I76*'[1]UFESP'!$D$11,2)+0.01</f>
        <v>151.38</v>
      </c>
      <c r="M73" s="84">
        <f>ROUND(F73+H73+I73+J73+K73,2)</f>
        <v>151.38</v>
      </c>
      <c r="N73" s="84">
        <f>G73+H73+I73+J73+K73</f>
        <v>151.38</v>
      </c>
      <c r="O73" s="84" t="str">
        <f>IF(N73=L73,"OK!",FALSE)</f>
        <v>OK!</v>
      </c>
      <c r="P73" s="43">
        <f>ROUND(G73*0.01,2)</f>
        <v>0.95</v>
      </c>
      <c r="Q73" s="44">
        <f>L73+P73</f>
        <v>152.32999999999998</v>
      </c>
      <c r="R73" s="54"/>
      <c r="S73" s="2"/>
    </row>
    <row r="74" spans="1:19" s="55" customFormat="1" ht="12" customHeight="1" thickBot="1">
      <c r="A74" s="98"/>
      <c r="B74" s="99"/>
      <c r="C74" s="99"/>
      <c r="D74" s="99"/>
      <c r="E74" s="99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34"/>
      <c r="Q74" s="101"/>
      <c r="R74" s="54"/>
      <c r="S74" s="2"/>
    </row>
    <row r="75" spans="1:17" ht="15" customHeight="1" thickBot="1">
      <c r="A75" s="124" t="s">
        <v>100</v>
      </c>
      <c r="B75" s="136" t="s">
        <v>101</v>
      </c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8"/>
    </row>
    <row r="76" spans="1:17" ht="15" customHeight="1">
      <c r="A76" s="50" t="s">
        <v>102</v>
      </c>
      <c r="B76" s="114" t="s">
        <v>103</v>
      </c>
      <c r="C76" s="115"/>
      <c r="D76" s="115"/>
      <c r="E76" s="115"/>
      <c r="F76" s="63">
        <f>ROUND(L76*0.625,2)</f>
        <v>147.34</v>
      </c>
      <c r="G76" s="63">
        <f>ROUND('[1]Notas 2007'!G78*'[1]UFESP'!$E$11,2)</f>
        <v>147.33</v>
      </c>
      <c r="H76" s="63">
        <f>ROUND('[1]Notas 2007'!H78*'[1]UFESP'!$E$11,2)</f>
        <v>41.87</v>
      </c>
      <c r="I76" s="63">
        <f>ROUND('[1]Notas 2007'!I78*'[1]UFESP'!$E$11,2)</f>
        <v>31.03</v>
      </c>
      <c r="J76" s="63">
        <f>ROUND('[1]Notas 2007'!J78*'[1]UFESP'!$E$11,2)</f>
        <v>7.76</v>
      </c>
      <c r="K76" s="63">
        <f>ROUND('[1]Notas 2007'!K78*'[1]UFESP'!$E$11,2)</f>
        <v>7.76</v>
      </c>
      <c r="L76" s="64">
        <f>G76+H76+I76+J76+K76</f>
        <v>235.75</v>
      </c>
      <c r="M76" s="65">
        <f>ROUND(F76+H76+I76+J76+K76,2)</f>
        <v>235.76</v>
      </c>
      <c r="N76" s="65">
        <f>G76+H76+I76+J76+K76</f>
        <v>235.75</v>
      </c>
      <c r="O76" s="65" t="str">
        <f>IF(N76=L76,"OK!",FALSE)</f>
        <v>OK!</v>
      </c>
      <c r="P76" s="29">
        <f>ROUND(G76*0.01,2)</f>
        <v>1.47</v>
      </c>
      <c r="Q76" s="30">
        <f>G76+H76+I76+J76+K76+P76</f>
        <v>237.22</v>
      </c>
    </row>
    <row r="77" spans="1:17" ht="15" customHeight="1" thickBot="1">
      <c r="A77" s="77" t="s">
        <v>104</v>
      </c>
      <c r="B77" s="116" t="s">
        <v>105</v>
      </c>
      <c r="C77" s="117"/>
      <c r="D77" s="117"/>
      <c r="E77" s="117"/>
      <c r="F77" s="82">
        <f>ROUND(L77*0.625,2)</f>
        <v>74.44</v>
      </c>
      <c r="G77" s="81">
        <f>ROUND('[1]Notas 2007'!G79*'[1]UFESP'!$E$11,2)+0.02</f>
        <v>74.42999999999999</v>
      </c>
      <c r="H77" s="81">
        <f>ROUND('[1]Notas 2007'!H79*'[1]UFESP'!$E$11,2)-0.01</f>
        <v>21.15</v>
      </c>
      <c r="I77" s="81">
        <f>ROUND('[1]Notas 2007'!I79*'[1]UFESP'!$E$11,2)</f>
        <v>15.67</v>
      </c>
      <c r="J77" s="81">
        <f>ROUND('[1]Notas 2007'!J79*'[1]UFESP'!$E$11,2)</f>
        <v>3.92</v>
      </c>
      <c r="K77" s="81">
        <f>ROUND('[1]Notas 2007'!K79*'[1]UFESP'!$E$11,2)</f>
        <v>3.92</v>
      </c>
      <c r="L77" s="91">
        <f>G77+H77+I77+J77+K77+0.01</f>
        <v>119.1</v>
      </c>
      <c r="M77" s="84"/>
      <c r="N77" s="84"/>
      <c r="O77" s="84"/>
      <c r="P77" s="43">
        <f>ROUND(G77*0.01,2)</f>
        <v>0.74</v>
      </c>
      <c r="Q77" s="44">
        <f>G77+H77+I77+J77+K77+P77</f>
        <v>119.82999999999998</v>
      </c>
    </row>
    <row r="78" spans="1:17" ht="16.5" customHeight="1" thickBot="1">
      <c r="A78" s="143"/>
      <c r="B78" s="144"/>
      <c r="C78" s="144"/>
      <c r="D78" s="144"/>
      <c r="E78" s="144"/>
      <c r="F78" s="34"/>
      <c r="G78" s="34"/>
      <c r="H78" s="34"/>
      <c r="I78" s="34"/>
      <c r="J78" s="34"/>
      <c r="K78" s="34"/>
      <c r="L78" s="34"/>
      <c r="M78" s="145"/>
      <c r="N78" s="145"/>
      <c r="O78" s="145"/>
      <c r="P78" s="145"/>
      <c r="Q78" s="145"/>
    </row>
    <row r="79" spans="1:17" ht="15" customHeight="1" thickBot="1">
      <c r="A79" s="146" t="s">
        <v>106</v>
      </c>
      <c r="B79" s="147" t="s">
        <v>107</v>
      </c>
      <c r="C79" s="104"/>
      <c r="D79" s="104"/>
      <c r="E79" s="105"/>
      <c r="F79" s="108">
        <f>ROUND(L79*0.625,2)</f>
        <v>546.46</v>
      </c>
      <c r="G79" s="108">
        <f>IF(M79=L79,F79,F79-(M79-L79))</f>
        <v>546.46</v>
      </c>
      <c r="H79" s="108">
        <f>ROUND(L79*0.1776316,2)</f>
        <v>155.31</v>
      </c>
      <c r="I79" s="108">
        <f>ROUND(L79*0.13157894,2)</f>
        <v>115.04</v>
      </c>
      <c r="J79" s="108">
        <f>ROUND(L79*0.03289473,2)</f>
        <v>28.76</v>
      </c>
      <c r="K79" s="108">
        <f>ROUND(L79*0.03289473,2)</f>
        <v>28.76</v>
      </c>
      <c r="L79" s="148">
        <f>ROUND('[1]Aprovada'!I82*'[1]UFESP'!$D$11,2)</f>
        <v>874.33</v>
      </c>
      <c r="M79" s="149">
        <f>ROUND(F79+H79+I79+J79+K79,2)</f>
        <v>874.33</v>
      </c>
      <c r="N79" s="149">
        <f>G79+H79+I79+J79+K79</f>
        <v>874.3299999999999</v>
      </c>
      <c r="O79" s="150" t="str">
        <f>IF(N79=L79,"OK!",FALSE)</f>
        <v>OK!</v>
      </c>
      <c r="P79" s="108">
        <f>ROUND(G79*0.01,2)</f>
        <v>5.46</v>
      </c>
      <c r="Q79" s="109">
        <f>L79+P79</f>
        <v>879.7900000000001</v>
      </c>
    </row>
    <row r="80" spans="1:12" ht="12.75">
      <c r="A80" s="48"/>
      <c r="B80" s="151"/>
      <c r="C80" s="151"/>
      <c r="D80" s="151"/>
      <c r="E80" s="151"/>
      <c r="F80" s="152"/>
      <c r="G80" s="152"/>
      <c r="H80" s="152"/>
      <c r="I80" s="152"/>
      <c r="J80" s="152"/>
      <c r="K80" s="152"/>
      <c r="L80" s="152"/>
    </row>
    <row r="81" spans="1:12" ht="12.75">
      <c r="A81" s="48"/>
      <c r="B81" s="151"/>
      <c r="C81" s="151"/>
      <c r="D81" s="151"/>
      <c r="E81" s="151"/>
      <c r="F81" s="152"/>
      <c r="G81" s="152"/>
      <c r="H81" s="152"/>
      <c r="I81" s="152"/>
      <c r="J81" s="152"/>
      <c r="K81" s="152"/>
      <c r="L81" s="152"/>
    </row>
    <row r="82" spans="1:12" ht="12.75">
      <c r="A82" s="48"/>
      <c r="B82" s="151"/>
      <c r="C82" s="151"/>
      <c r="D82" s="151"/>
      <c r="E82" s="151"/>
      <c r="F82" s="152"/>
      <c r="G82" s="152"/>
      <c r="H82" s="152"/>
      <c r="I82" s="152"/>
      <c r="J82" s="152"/>
      <c r="K82" s="152"/>
      <c r="L82" s="152"/>
    </row>
    <row r="83" spans="1:12" ht="12.75">
      <c r="A83" s="48"/>
      <c r="B83" s="151"/>
      <c r="C83" s="151"/>
      <c r="D83" s="151"/>
      <c r="E83" s="151"/>
      <c r="F83" s="152"/>
      <c r="G83" s="152"/>
      <c r="H83" s="152"/>
      <c r="I83" s="152"/>
      <c r="J83" s="152"/>
      <c r="K83" s="152"/>
      <c r="L83" s="152"/>
    </row>
    <row r="84" spans="1:12" ht="12.75">
      <c r="A84" s="48"/>
      <c r="B84" s="151"/>
      <c r="C84" s="151"/>
      <c r="D84" s="151"/>
      <c r="E84" s="151"/>
      <c r="F84" s="152"/>
      <c r="G84" s="152"/>
      <c r="H84" s="152"/>
      <c r="I84" s="152"/>
      <c r="J84" s="152"/>
      <c r="K84" s="152"/>
      <c r="L84" s="152"/>
    </row>
    <row r="85" spans="1:12" ht="12.75">
      <c r="A85" s="48"/>
      <c r="B85" s="151"/>
      <c r="C85" s="151"/>
      <c r="D85" s="151"/>
      <c r="E85" s="151"/>
      <c r="F85" s="152"/>
      <c r="G85" s="152"/>
      <c r="H85" s="152"/>
      <c r="I85" s="152"/>
      <c r="J85" s="152"/>
      <c r="K85" s="152"/>
      <c r="L85" s="152"/>
    </row>
    <row r="86" spans="1:12" ht="12.75">
      <c r="A86" s="48"/>
      <c r="B86" s="151"/>
      <c r="C86" s="151"/>
      <c r="D86" s="151"/>
      <c r="E86" s="151"/>
      <c r="F86" s="152"/>
      <c r="G86" s="152"/>
      <c r="H86" s="152"/>
      <c r="I86" s="152"/>
      <c r="J86" s="152"/>
      <c r="K86" s="152"/>
      <c r="L86" s="152"/>
    </row>
    <row r="87" spans="1:12" ht="12.75">
      <c r="A87" s="48"/>
      <c r="B87" s="151"/>
      <c r="C87" s="151"/>
      <c r="D87" s="151"/>
      <c r="E87" s="151"/>
      <c r="F87" s="152"/>
      <c r="G87" s="152"/>
      <c r="H87" s="152"/>
      <c r="I87" s="152"/>
      <c r="J87" s="152"/>
      <c r="K87" s="152"/>
      <c r="L87" s="152"/>
    </row>
    <row r="88" spans="1:12" ht="12.75">
      <c r="A88" s="48"/>
      <c r="B88" s="151"/>
      <c r="C88" s="151"/>
      <c r="D88" s="151"/>
      <c r="E88" s="151"/>
      <c r="F88" s="152"/>
      <c r="G88" s="152"/>
      <c r="H88" s="152"/>
      <c r="I88" s="152"/>
      <c r="J88" s="152"/>
      <c r="K88" s="152"/>
      <c r="L88" s="152"/>
    </row>
    <row r="89" spans="1:12" ht="12.75">
      <c r="A89" s="48"/>
      <c r="B89" s="151"/>
      <c r="C89" s="151"/>
      <c r="D89" s="151"/>
      <c r="E89" s="151"/>
      <c r="F89" s="152"/>
      <c r="G89" s="152"/>
      <c r="H89" s="152"/>
      <c r="I89" s="152"/>
      <c r="J89" s="152"/>
      <c r="K89" s="152"/>
      <c r="L89" s="152"/>
    </row>
    <row r="90" spans="1:12" ht="12.75">
      <c r="A90" s="48"/>
      <c r="B90" s="151"/>
      <c r="C90" s="151"/>
      <c r="D90" s="151"/>
      <c r="E90" s="151"/>
      <c r="F90" s="152"/>
      <c r="G90" s="152"/>
      <c r="H90" s="152"/>
      <c r="I90" s="152"/>
      <c r="J90" s="152"/>
      <c r="K90" s="152"/>
      <c r="L90" s="152"/>
    </row>
    <row r="91" spans="1:12" ht="12.75">
      <c r="A91" s="48"/>
      <c r="B91" s="151"/>
      <c r="C91" s="151"/>
      <c r="D91" s="151"/>
      <c r="E91" s="151"/>
      <c r="F91" s="152"/>
      <c r="G91" s="152"/>
      <c r="H91" s="152"/>
      <c r="I91" s="152"/>
      <c r="J91" s="152"/>
      <c r="K91" s="152"/>
      <c r="L91" s="152"/>
    </row>
    <row r="92" spans="1:12" ht="12.75">
      <c r="A92" s="48"/>
      <c r="B92" s="151"/>
      <c r="C92" s="151"/>
      <c r="D92" s="151"/>
      <c r="E92" s="151"/>
      <c r="F92" s="152"/>
      <c r="G92" s="152"/>
      <c r="H92" s="152"/>
      <c r="I92" s="152"/>
      <c r="J92" s="152"/>
      <c r="K92" s="152"/>
      <c r="L92" s="152"/>
    </row>
    <row r="93" spans="1:12" ht="12.75">
      <c r="A93" s="48"/>
      <c r="B93" s="151"/>
      <c r="C93" s="151"/>
      <c r="D93" s="151"/>
      <c r="E93" s="151"/>
      <c r="F93" s="152"/>
      <c r="G93" s="152"/>
      <c r="H93" s="152"/>
      <c r="I93" s="152"/>
      <c r="J93" s="152"/>
      <c r="K93" s="152"/>
      <c r="L93" s="152"/>
    </row>
    <row r="94" spans="1:12" ht="12.75">
      <c r="A94" s="48"/>
      <c r="B94" s="151"/>
      <c r="C94" s="151"/>
      <c r="D94" s="151"/>
      <c r="E94" s="151"/>
      <c r="F94" s="152"/>
      <c r="G94" s="152"/>
      <c r="H94" s="152"/>
      <c r="I94" s="152"/>
      <c r="J94" s="152"/>
      <c r="K94" s="152"/>
      <c r="L94" s="152"/>
    </row>
    <row r="95" spans="1:12" ht="12.75">
      <c r="A95" s="48"/>
      <c r="B95" s="151"/>
      <c r="C95" s="151"/>
      <c r="D95" s="151"/>
      <c r="E95" s="151"/>
      <c r="F95" s="152"/>
      <c r="G95" s="152"/>
      <c r="H95" s="152"/>
      <c r="I95" s="152"/>
      <c r="J95" s="152"/>
      <c r="K95" s="152"/>
      <c r="L95" s="152"/>
    </row>
    <row r="96" spans="1:12" ht="12.75">
      <c r="A96" s="48"/>
      <c r="B96" s="151"/>
      <c r="C96" s="151"/>
      <c r="D96" s="151"/>
      <c r="E96" s="151"/>
      <c r="F96" s="152"/>
      <c r="G96" s="152"/>
      <c r="H96" s="152"/>
      <c r="I96" s="152"/>
      <c r="J96" s="152"/>
      <c r="K96" s="152"/>
      <c r="L96" s="152"/>
    </row>
    <row r="97" spans="1:12" ht="12.75">
      <c r="A97" s="48"/>
      <c r="B97" s="151"/>
      <c r="C97" s="151"/>
      <c r="D97" s="151"/>
      <c r="E97" s="151"/>
      <c r="F97" s="152"/>
      <c r="G97" s="152"/>
      <c r="H97" s="152"/>
      <c r="I97" s="152"/>
      <c r="J97" s="152"/>
      <c r="K97" s="152"/>
      <c r="L97" s="152"/>
    </row>
    <row r="98" spans="1:12" ht="12.75">
      <c r="A98" s="48"/>
      <c r="B98" s="151"/>
      <c r="C98" s="151"/>
      <c r="D98" s="151"/>
      <c r="F98" s="152"/>
      <c r="G98" s="152"/>
      <c r="H98" s="152"/>
      <c r="I98" s="152"/>
      <c r="J98" s="152"/>
      <c r="K98" s="152"/>
      <c r="L98" s="152"/>
    </row>
    <row r="99" spans="1:12" ht="12.75">
      <c r="A99" s="48"/>
      <c r="B99" s="151"/>
      <c r="C99" s="151"/>
      <c r="D99" s="151"/>
      <c r="E99" s="151"/>
      <c r="F99" s="152"/>
      <c r="G99" s="152"/>
      <c r="H99" s="152"/>
      <c r="I99" s="152"/>
      <c r="J99" s="152"/>
      <c r="K99" s="152"/>
      <c r="L99" s="152"/>
    </row>
    <row r="100" spans="1:12" ht="12.75">
      <c r="A100" s="48"/>
      <c r="B100" s="151"/>
      <c r="C100" s="151"/>
      <c r="D100" s="151"/>
      <c r="E100" s="151"/>
      <c r="F100" s="152"/>
      <c r="G100" s="152"/>
      <c r="H100" s="152"/>
      <c r="I100" s="152"/>
      <c r="J100" s="152"/>
      <c r="K100" s="152"/>
      <c r="L100" s="152"/>
    </row>
    <row r="101" spans="1:12" ht="12.75">
      <c r="A101" s="48"/>
      <c r="B101" s="151"/>
      <c r="C101" s="151"/>
      <c r="D101" s="151"/>
      <c r="E101" s="151"/>
      <c r="F101" s="152"/>
      <c r="G101" s="152"/>
      <c r="H101" s="152"/>
      <c r="I101" s="152"/>
      <c r="J101" s="152"/>
      <c r="K101" s="152"/>
      <c r="L101" s="152"/>
    </row>
    <row r="102" spans="1:12" ht="12.75">
      <c r="A102" s="48"/>
      <c r="B102" s="151"/>
      <c r="C102" s="151"/>
      <c r="D102" s="151"/>
      <c r="E102" s="151"/>
      <c r="F102" s="152"/>
      <c r="G102" s="152"/>
      <c r="H102" s="152"/>
      <c r="I102" s="152"/>
      <c r="J102" s="152"/>
      <c r="K102" s="152"/>
      <c r="L102" s="152"/>
    </row>
    <row r="103" spans="1:12" ht="12.75">
      <c r="A103" s="48"/>
      <c r="B103" s="151"/>
      <c r="C103" s="151"/>
      <c r="D103" s="151"/>
      <c r="E103" s="151"/>
      <c r="F103" s="152"/>
      <c r="G103" s="152"/>
      <c r="H103" s="152"/>
      <c r="I103" s="152"/>
      <c r="J103" s="152"/>
      <c r="K103" s="152"/>
      <c r="L103" s="152"/>
    </row>
    <row r="104" spans="1:12" ht="12.75">
      <c r="A104" s="48"/>
      <c r="B104" s="151"/>
      <c r="C104" s="151"/>
      <c r="D104" s="151"/>
      <c r="E104" s="151"/>
      <c r="F104" s="152"/>
      <c r="G104" s="152"/>
      <c r="H104" s="152"/>
      <c r="I104" s="152"/>
      <c r="J104" s="152"/>
      <c r="K104" s="152"/>
      <c r="L104" s="152"/>
    </row>
    <row r="105" spans="1:12" ht="12.75">
      <c r="A105" s="48"/>
      <c r="B105" s="151"/>
      <c r="C105" s="151"/>
      <c r="D105" s="151"/>
      <c r="E105" s="151"/>
      <c r="F105" s="152"/>
      <c r="G105" s="152"/>
      <c r="H105" s="152"/>
      <c r="I105" s="152"/>
      <c r="J105" s="152"/>
      <c r="K105" s="152"/>
      <c r="L105" s="152"/>
    </row>
    <row r="106" spans="1:12" ht="12.75">
      <c r="A106" s="48"/>
      <c r="B106" s="151"/>
      <c r="C106" s="151"/>
      <c r="D106" s="151"/>
      <c r="E106" s="151"/>
      <c r="F106" s="152"/>
      <c r="G106" s="152"/>
      <c r="H106" s="152"/>
      <c r="I106" s="152"/>
      <c r="J106" s="152"/>
      <c r="K106" s="152"/>
      <c r="L106" s="152"/>
    </row>
    <row r="107" spans="1:12" ht="12.75">
      <c r="A107" s="48"/>
      <c r="B107" s="151"/>
      <c r="C107" s="151"/>
      <c r="D107" s="151"/>
      <c r="E107" s="151"/>
      <c r="F107" s="152"/>
      <c r="G107" s="152"/>
      <c r="H107" s="152"/>
      <c r="I107" s="152"/>
      <c r="J107" s="152"/>
      <c r="K107" s="152"/>
      <c r="L107" s="152"/>
    </row>
    <row r="108" spans="1:12" ht="12.75">
      <c r="A108" s="48"/>
      <c r="B108" s="151"/>
      <c r="C108" s="151"/>
      <c r="D108" s="151"/>
      <c r="E108" s="151"/>
      <c r="F108" s="152"/>
      <c r="G108" s="152"/>
      <c r="H108" s="152"/>
      <c r="I108" s="152"/>
      <c r="J108" s="152"/>
      <c r="K108" s="152"/>
      <c r="L108" s="152"/>
    </row>
    <row r="109" spans="1:12" ht="12.75">
      <c r="A109" s="48"/>
      <c r="B109" s="151"/>
      <c r="C109" s="151"/>
      <c r="D109" s="151"/>
      <c r="E109" s="151"/>
      <c r="F109" s="152"/>
      <c r="G109" s="152"/>
      <c r="H109" s="152"/>
      <c r="I109" s="152"/>
      <c r="J109" s="152"/>
      <c r="K109" s="152"/>
      <c r="L109" s="152"/>
    </row>
    <row r="110" spans="1:12" ht="12.75">
      <c r="A110" s="48"/>
      <c r="B110" s="151"/>
      <c r="C110" s="151"/>
      <c r="D110" s="151"/>
      <c r="E110" s="151"/>
      <c r="F110" s="152"/>
      <c r="G110" s="152"/>
      <c r="H110" s="152"/>
      <c r="I110" s="152"/>
      <c r="J110" s="152"/>
      <c r="K110" s="152"/>
      <c r="L110" s="152"/>
    </row>
    <row r="111" spans="1:12" ht="12.75">
      <c r="A111" s="48"/>
      <c r="B111" s="151"/>
      <c r="C111" s="151"/>
      <c r="D111" s="151"/>
      <c r="E111" s="151"/>
      <c r="F111" s="152"/>
      <c r="G111" s="152"/>
      <c r="H111" s="152"/>
      <c r="I111" s="152"/>
      <c r="J111" s="152"/>
      <c r="K111" s="152"/>
      <c r="L111" s="152"/>
    </row>
    <row r="112" spans="1:12" ht="12.75">
      <c r="A112" s="48"/>
      <c r="B112" s="151"/>
      <c r="C112" s="151"/>
      <c r="D112" s="151"/>
      <c r="E112" s="151"/>
      <c r="F112" s="152"/>
      <c r="G112" s="152"/>
      <c r="H112" s="152"/>
      <c r="I112" s="152"/>
      <c r="J112" s="152"/>
      <c r="K112" s="152"/>
      <c r="L112" s="152"/>
    </row>
    <row r="113" spans="1:12" ht="12.75">
      <c r="A113" s="48"/>
      <c r="B113" s="151"/>
      <c r="C113" s="151"/>
      <c r="D113" s="151"/>
      <c r="E113" s="151"/>
      <c r="F113" s="152"/>
      <c r="G113" s="152"/>
      <c r="H113" s="152"/>
      <c r="I113" s="152"/>
      <c r="J113" s="152"/>
      <c r="K113" s="152"/>
      <c r="L113" s="152"/>
    </row>
    <row r="114" spans="1:12" ht="12.75">
      <c r="A114" s="48"/>
      <c r="B114" s="151"/>
      <c r="C114" s="151"/>
      <c r="D114" s="151"/>
      <c r="E114" s="151"/>
      <c r="F114" s="152"/>
      <c r="G114" s="152"/>
      <c r="H114" s="152"/>
      <c r="I114" s="152"/>
      <c r="J114" s="152"/>
      <c r="K114" s="152"/>
      <c r="L114" s="152"/>
    </row>
    <row r="115" spans="1:12" ht="12.75">
      <c r="A115" s="48"/>
      <c r="B115" s="151"/>
      <c r="C115" s="151"/>
      <c r="D115" s="151"/>
      <c r="E115" s="151"/>
      <c r="F115" s="152"/>
      <c r="G115" s="152"/>
      <c r="H115" s="152"/>
      <c r="I115" s="152"/>
      <c r="J115" s="152"/>
      <c r="K115" s="152"/>
      <c r="L115" s="152"/>
    </row>
    <row r="116" spans="1:12" ht="12.75">
      <c r="A116" s="48"/>
      <c r="B116" s="151"/>
      <c r="C116" s="151"/>
      <c r="D116" s="151"/>
      <c r="E116" s="151"/>
      <c r="F116" s="152"/>
      <c r="G116" s="152"/>
      <c r="H116" s="152"/>
      <c r="I116" s="152"/>
      <c r="J116" s="152"/>
      <c r="K116" s="152"/>
      <c r="L116" s="152"/>
    </row>
    <row r="117" spans="1:12" ht="12.75">
      <c r="A117" s="48"/>
      <c r="B117" s="151"/>
      <c r="C117" s="151"/>
      <c r="D117" s="151"/>
      <c r="E117" s="151"/>
      <c r="F117" s="152"/>
      <c r="G117" s="152"/>
      <c r="H117" s="152"/>
      <c r="I117" s="152"/>
      <c r="J117" s="152"/>
      <c r="K117" s="152"/>
      <c r="L117" s="152"/>
    </row>
    <row r="118" spans="1:12" ht="12.75">
      <c r="A118" s="48"/>
      <c r="B118" s="151"/>
      <c r="C118" s="151"/>
      <c r="D118" s="151"/>
      <c r="E118" s="151"/>
      <c r="F118" s="152"/>
      <c r="G118" s="152"/>
      <c r="H118" s="152"/>
      <c r="I118" s="152"/>
      <c r="J118" s="152"/>
      <c r="K118" s="152"/>
      <c r="L118" s="152"/>
    </row>
    <row r="119" spans="1:12" ht="12.75">
      <c r="A119" s="48"/>
      <c r="B119" s="151"/>
      <c r="C119" s="151"/>
      <c r="D119" s="151"/>
      <c r="E119" s="151"/>
      <c r="F119" s="152"/>
      <c r="G119" s="152"/>
      <c r="H119" s="152"/>
      <c r="I119" s="152"/>
      <c r="J119" s="152"/>
      <c r="K119" s="152"/>
      <c r="L119" s="152"/>
    </row>
  </sheetData>
  <mergeCells count="37">
    <mergeCell ref="B79:E79"/>
    <mergeCell ref="B73:E73"/>
    <mergeCell ref="B75:Q75"/>
    <mergeCell ref="B76:E76"/>
    <mergeCell ref="B77:E77"/>
    <mergeCell ref="B69:Q69"/>
    <mergeCell ref="B70:E70"/>
    <mergeCell ref="B71:E71"/>
    <mergeCell ref="B72:E72"/>
    <mergeCell ref="B63:Q63"/>
    <mergeCell ref="B64:E64"/>
    <mergeCell ref="B65:E65"/>
    <mergeCell ref="B67:E67"/>
    <mergeCell ref="B57:E57"/>
    <mergeCell ref="B58:Q58"/>
    <mergeCell ref="B59:E59"/>
    <mergeCell ref="B61:E61"/>
    <mergeCell ref="B52:E52"/>
    <mergeCell ref="B54:Q54"/>
    <mergeCell ref="B55:Q55"/>
    <mergeCell ref="B56:E56"/>
    <mergeCell ref="B47:Q47"/>
    <mergeCell ref="B48:E48"/>
    <mergeCell ref="B49:E49"/>
    <mergeCell ref="A50:Q50"/>
    <mergeCell ref="B43:E43"/>
    <mergeCell ref="B44:Q44"/>
    <mergeCell ref="B45:E45"/>
    <mergeCell ref="B46:E46"/>
    <mergeCell ref="B39:Q39"/>
    <mergeCell ref="B40:Q40"/>
    <mergeCell ref="B41:E41"/>
    <mergeCell ref="B42:E42"/>
    <mergeCell ref="A2:Q2"/>
    <mergeCell ref="A3:Q3"/>
    <mergeCell ref="A4:E4"/>
    <mergeCell ref="A37:Q37"/>
  </mergeCells>
  <conditionalFormatting sqref="O5:O36 O41:O43 O45:O46 O48:O49 O51:O53 O56:O57 O59:O62 O76:O77 O70:O74 O64:O68">
    <cfRule type="cellIs" priority="1" dxfId="0" operator="equal" stopIfTrue="1">
      <formula>"OK!"</formula>
    </cfRule>
  </conditionalFormatting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29ª Tabeliã de Notas da Capital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Silva Lopes Agapito</dc:creator>
  <cp:keywords/>
  <dc:description/>
  <cp:lastModifiedBy>Daniel Silva Lopes Agapito</cp:lastModifiedBy>
  <dcterms:created xsi:type="dcterms:W3CDTF">2007-12-28T14:04:05Z</dcterms:created>
  <dcterms:modified xsi:type="dcterms:W3CDTF">2007-12-28T14:05:27Z</dcterms:modified>
  <cp:category/>
  <cp:version/>
  <cp:contentType/>
  <cp:contentStatus/>
</cp:coreProperties>
</file>